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9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п" sheetId="8" r:id="rId8"/>
    <sheet name="вер" sheetId="9" r:id="rId9"/>
    <sheet name="жовт" sheetId="10" r:id="rId10"/>
  </sheets>
  <definedNames>
    <definedName name="_xlnm.Print_Area" localSheetId="2">'бер'!$A$1:$AE$92</definedName>
    <definedName name="_xlnm.Print_Area" localSheetId="8">'вер'!$A$1:$AE$95</definedName>
    <definedName name="_xlnm.Print_Area" localSheetId="9">'жовт'!$A$1:$AE$95</definedName>
    <definedName name="_xlnm.Print_Area" localSheetId="3">'квіт'!$A$1:$AE$92</definedName>
    <definedName name="_xlnm.Print_Area" localSheetId="6">'лип'!$A$1:$AE$92</definedName>
    <definedName name="_xlnm.Print_Area" localSheetId="7">'серп'!$A$1:$AE$95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  <definedName name="_xlnm.Print_Area" localSheetId="5">'черв'!$A$1:$AE$92</definedName>
  </definedNames>
  <calcPr fullCalcOnLoad="1"/>
</workbook>
</file>

<file path=xl/sharedStrings.xml><?xml version="1.0" encoding="utf-8"?>
<sst xmlns="http://schemas.openxmlformats.org/spreadsheetml/2006/main" count="969" uniqueCount="68">
  <si>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</si>
  <si>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</si>
  <si>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</si>
  <si>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</si>
  <si>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</si>
  <si>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</si>
  <si>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</si>
  <si>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</si>
  <si>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</si>
  <si>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</si>
  <si>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</si>
  <si>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</si>
  <si>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</si>
  <si>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</si>
  <si>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</si>
  <si>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</si>
  <si>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</si>
  <si>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</si>
  <si>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</si>
  <si>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</si>
  <si>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</si>
  <si>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</si>
  <si>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</si>
  <si>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</si>
  <si>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</si>
  <si>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</si>
  <si>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</si>
  <si>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</si>
  <si>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</si>
  <si>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</si>
  <si>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</si>
  <si>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</si>
  <si>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</si>
  <si>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</si>
  <si>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</si>
  <si>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</si>
  <si>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</si>
  <si>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</si>
  <si>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</si>
  <si>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</si>
  <si>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</si>
  <si>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</si>
  <si>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</si>
  <si>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</si>
  <si>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</si>
  <si>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</si>
  <si>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</si>
  <si>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</si>
  <si>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</si>
  <si>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</si>
  <si>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</si>
  <si>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</si>
  <si>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</si>
  <si>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</si>
  <si>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</si>
  <si>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</si>
  <si>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</si>
  <si>
    <t>по міському бюджету м.Черкаси у ЧЕРВНІ 2014 р.</t>
  </si>
  <si>
    <t>надійшло доходів/план видатків
 на червень</t>
  </si>
  <si>
    <t>по міському бюджету м.Черкаси у ЛИПНІ 2014 р.</t>
  </si>
  <si>
    <t>надійшло доходів/план видатків
 на липень</t>
  </si>
  <si>
    <t>по міському бюджету м.Черкаси у СЕРПНІ 2014 р.</t>
  </si>
  <si>
    <t>надійшло доходів/план видатків
 на серпень</t>
  </si>
  <si>
    <t>в т.ч. грошова допомога для оплати вартості оренди житла, що винаймається тимчасово розселеним переселенцям</t>
  </si>
  <si>
    <t>по міському бюджету м.Черкаси у ВЕРЕСНІ 2014 р.</t>
  </si>
  <si>
    <t>надійшло доходів/план видатків
 на вересень</t>
  </si>
  <si>
    <t>по міському бюджету м.Черкаси у ЖОВТНІ 2014 р.</t>
  </si>
  <si>
    <t>надійшло доходів/план видатків
 на жовтень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</si>
</sst>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" sqref="A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1001.4</v>
      </c>
      <c r="C6" s="46"/>
      <c r="D6" s="46">
        <v>1001.4</v>
      </c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2356.1</v>
      </c>
      <c r="C8" s="41">
        <v>0</v>
      </c>
      <c r="D8" s="44">
        <v>1012.1</v>
      </c>
      <c r="E8" s="56">
        <v>737.2</v>
      </c>
      <c r="F8" s="56">
        <v>167.1</v>
      </c>
      <c r="G8" s="56">
        <v>439.7</v>
      </c>
      <c r="H8" s="56"/>
      <c r="I8" s="56"/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Y9">B10+B15+B23+B31+B45+B50+B51+B58+B59+B68+B69+B84+B72+B77+B79+B78+B66+B85+B86+B87+B67+B38+B88</f>
        <v>53217.100000000006</v>
      </c>
      <c r="C9" s="25">
        <f t="shared" si="0"/>
        <v>20832.200000000004</v>
      </c>
      <c r="D9" s="25">
        <f t="shared" si="0"/>
        <v>2013.4999999999998</v>
      </c>
      <c r="E9" s="25">
        <f t="shared" si="0"/>
        <v>737.2</v>
      </c>
      <c r="F9" s="25">
        <f t="shared" si="0"/>
        <v>167.10000000000002</v>
      </c>
      <c r="G9" s="25">
        <f t="shared" si="0"/>
        <v>439.70000000000005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3357.5</v>
      </c>
      <c r="AE9" s="51">
        <f>AE10+AE15+AE23+AE31+AE45+AE50+AE51+AE58+AE59+AE68+AE69+AE72+AE84+AE77+AE79+AE78+AE66+AE85+AE87+AE86+AE67+AE38+AE88</f>
        <v>70691.79999999999</v>
      </c>
      <c r="AG9" s="50"/>
    </row>
    <row r="10" spans="1:31" ht="15.75">
      <c r="A10" s="4" t="s">
        <v>4</v>
      </c>
      <c r="B10" s="23">
        <f>4665.2-451.1</f>
        <v>4214.099999999999</v>
      </c>
      <c r="C10" s="23">
        <v>1172.7</v>
      </c>
      <c r="D10" s="23">
        <v>8.5</v>
      </c>
      <c r="E10" s="23">
        <v>26.9</v>
      </c>
      <c r="F10" s="23">
        <v>8</v>
      </c>
      <c r="G10" s="23"/>
      <c r="H10" s="23"/>
      <c r="I10" s="23"/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43.4</v>
      </c>
      <c r="AE10" s="28">
        <f>B10+C10-AD10</f>
        <v>5343.4</v>
      </c>
    </row>
    <row r="11" spans="1:31" ht="15.75">
      <c r="A11" s="3" t="s">
        <v>5</v>
      </c>
      <c r="B11" s="23">
        <f>4082.2-475.1</f>
        <v>3607.1</v>
      </c>
      <c r="C11" s="23">
        <v>217.2</v>
      </c>
      <c r="D11" s="23">
        <v>8.5</v>
      </c>
      <c r="E11" s="23"/>
      <c r="F11" s="23">
        <v>8</v>
      </c>
      <c r="G11" s="23"/>
      <c r="H11" s="23"/>
      <c r="I11" s="23"/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16.5</v>
      </c>
      <c r="AE11" s="28">
        <f>B11+C11-AD11</f>
        <v>3807.7999999999997</v>
      </c>
    </row>
    <row r="12" spans="1:31" ht="15.75">
      <c r="A12" s="3" t="s">
        <v>2</v>
      </c>
      <c r="B12" s="37">
        <f>319.9-40</f>
        <v>279.9</v>
      </c>
      <c r="C12" s="23">
        <v>79.5</v>
      </c>
      <c r="D12" s="23"/>
      <c r="E12" s="23">
        <v>14.3</v>
      </c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14.3</v>
      </c>
      <c r="AE12" s="28">
        <f>B12+C12-AD12</f>
        <v>345.09999999999997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327.09999999999957</v>
      </c>
      <c r="C14" s="23">
        <f t="shared" si="2"/>
        <v>876</v>
      </c>
      <c r="D14" s="23">
        <f t="shared" si="2"/>
        <v>0</v>
      </c>
      <c r="E14" s="23">
        <f t="shared" si="2"/>
        <v>12.599999999999998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12.599999999999998</v>
      </c>
      <c r="AE14" s="28">
        <f>AE10-AE11-AE12-AE13</f>
        <v>1190.5</v>
      </c>
    </row>
    <row r="15" spans="1:31" ht="15" customHeight="1">
      <c r="A15" s="4" t="s">
        <v>6</v>
      </c>
      <c r="B15" s="23">
        <f>23863+99</f>
        <v>23962</v>
      </c>
      <c r="C15" s="23">
        <v>3189.9</v>
      </c>
      <c r="D15" s="45">
        <v>1763.8</v>
      </c>
      <c r="E15" s="45">
        <v>12.5</v>
      </c>
      <c r="F15" s="23">
        <v>44.7</v>
      </c>
      <c r="G15" s="23">
        <v>74.3</v>
      </c>
      <c r="H15" s="23"/>
      <c r="I15" s="23"/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1895.3</v>
      </c>
      <c r="AE15" s="28">
        <f aca="true" t="shared" si="3" ref="AE15:AE29">B15+C15-AD15</f>
        <v>25256.600000000002</v>
      </c>
    </row>
    <row r="16" spans="1:32" ht="15.75">
      <c r="A16" s="3" t="s">
        <v>5</v>
      </c>
      <c r="B16" s="23">
        <f>17980+99</f>
        <v>18079</v>
      </c>
      <c r="C16" s="23">
        <v>1613.6</v>
      </c>
      <c r="D16" s="23">
        <v>1605.9</v>
      </c>
      <c r="E16" s="23"/>
      <c r="F16" s="23"/>
      <c r="G16" s="23"/>
      <c r="H16" s="23"/>
      <c r="I16" s="23"/>
      <c r="J16" s="27"/>
      <c r="K16" s="23"/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1605.9</v>
      </c>
      <c r="AE16" s="28">
        <f t="shared" si="3"/>
        <v>18086.699999999997</v>
      </c>
      <c r="AF16" s="6"/>
    </row>
    <row r="17" spans="1:31" ht="15.75">
      <c r="A17" s="3" t="s">
        <v>3</v>
      </c>
      <c r="B17" s="23">
        <v>23.5</v>
      </c>
      <c r="C17" s="23">
        <v>4.3</v>
      </c>
      <c r="D17" s="23"/>
      <c r="E17" s="23">
        <v>0.9</v>
      </c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0.9</v>
      </c>
      <c r="AE17" s="28">
        <f t="shared" si="3"/>
        <v>26.900000000000002</v>
      </c>
    </row>
    <row r="18" spans="1:31" ht="15.75">
      <c r="A18" s="3" t="s">
        <v>1</v>
      </c>
      <c r="B18" s="23">
        <v>1689</v>
      </c>
      <c r="C18" s="23">
        <v>724.4</v>
      </c>
      <c r="D18" s="23">
        <v>150.2</v>
      </c>
      <c r="E18" s="23"/>
      <c r="F18" s="23">
        <v>44.7</v>
      </c>
      <c r="G18" s="23">
        <v>74.3</v>
      </c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269.2</v>
      </c>
      <c r="AE18" s="28">
        <f t="shared" si="3"/>
        <v>2144.2000000000003</v>
      </c>
    </row>
    <row r="19" spans="1:31" ht="15.75">
      <c r="A19" s="3" t="s">
        <v>2</v>
      </c>
      <c r="B19" s="23">
        <v>3964.7</v>
      </c>
      <c r="C19" s="23">
        <v>168.4</v>
      </c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0</v>
      </c>
      <c r="AE19" s="28">
        <f t="shared" si="3"/>
        <v>4133.099999999999</v>
      </c>
    </row>
    <row r="20" spans="1:31" ht="15.75">
      <c r="A20" s="3" t="s">
        <v>17</v>
      </c>
      <c r="B20" s="23">
        <v>13.8</v>
      </c>
      <c r="C20" s="23">
        <v>30.4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44.2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192.00000000000017</v>
      </c>
      <c r="C22" s="23">
        <f t="shared" si="4"/>
        <v>648.8000000000003</v>
      </c>
      <c r="D22" s="23">
        <f t="shared" si="4"/>
        <v>7.699999999999875</v>
      </c>
      <c r="E22" s="23">
        <f t="shared" si="4"/>
        <v>11.6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19.299999999999876</v>
      </c>
      <c r="AE22" s="28">
        <f t="shared" si="3"/>
        <v>821.5000000000006</v>
      </c>
    </row>
    <row r="23" spans="1:31" ht="15" customHeight="1">
      <c r="A23" s="4" t="s">
        <v>7</v>
      </c>
      <c r="B23" s="23">
        <f>13133+739.4</f>
        <v>13872.4</v>
      </c>
      <c r="C23" s="23">
        <v>2326.6</v>
      </c>
      <c r="D23" s="23">
        <v>37.8</v>
      </c>
      <c r="E23" s="23">
        <v>150.4</v>
      </c>
      <c r="F23" s="23"/>
      <c r="G23" s="23">
        <v>45</v>
      </c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233.2</v>
      </c>
      <c r="AE23" s="28">
        <f t="shared" si="3"/>
        <v>15965.8</v>
      </c>
    </row>
    <row r="24" spans="1:32" ht="15.75">
      <c r="A24" s="3" t="s">
        <v>5</v>
      </c>
      <c r="B24" s="23">
        <f>7035.2+739.4</f>
        <v>7774.599999999999</v>
      </c>
      <c r="C24" s="23">
        <v>2.2</v>
      </c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0</v>
      </c>
      <c r="AE24" s="28">
        <f t="shared" si="3"/>
        <v>7776.799999999999</v>
      </c>
      <c r="AF24" s="6"/>
    </row>
    <row r="25" spans="1:31" ht="15.75">
      <c r="A25" s="3" t="s">
        <v>3</v>
      </c>
      <c r="B25" s="23">
        <v>2809.8</v>
      </c>
      <c r="C25" s="23">
        <v>276.2</v>
      </c>
      <c r="D25" s="23"/>
      <c r="E25" s="23">
        <v>127.3</v>
      </c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127.3</v>
      </c>
      <c r="AE25" s="28">
        <f t="shared" si="3"/>
        <v>2958.7</v>
      </c>
    </row>
    <row r="26" spans="1:31" ht="15.75">
      <c r="A26" s="3" t="s">
        <v>1</v>
      </c>
      <c r="B26" s="23">
        <v>315.6</v>
      </c>
      <c r="C26" s="23">
        <v>34.5</v>
      </c>
      <c r="D26" s="23">
        <v>34.2</v>
      </c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34.2</v>
      </c>
      <c r="AE26" s="28">
        <f t="shared" si="3"/>
        <v>315.90000000000003</v>
      </c>
    </row>
    <row r="27" spans="1:31" ht="15.75">
      <c r="A27" s="3" t="s">
        <v>2</v>
      </c>
      <c r="B27" s="23">
        <v>2219.6</v>
      </c>
      <c r="C27" s="23">
        <v>172.4</v>
      </c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2392</v>
      </c>
    </row>
    <row r="28" spans="1:31" ht="15.75">
      <c r="A28" s="3" t="s">
        <v>17</v>
      </c>
      <c r="B28" s="23">
        <v>117.4</v>
      </c>
      <c r="C28" s="23">
        <v>36</v>
      </c>
      <c r="D28" s="23">
        <v>3.6</v>
      </c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3.6</v>
      </c>
      <c r="AE28" s="28">
        <f t="shared" si="3"/>
        <v>149.8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635.4000000000002</v>
      </c>
      <c r="C30" s="23">
        <f t="shared" si="5"/>
        <v>1805.3000000000002</v>
      </c>
      <c r="D30" s="23">
        <f t="shared" si="5"/>
        <v>-5.773159728050814E-15</v>
      </c>
      <c r="E30" s="23">
        <f t="shared" si="5"/>
        <v>23.10000000000001</v>
      </c>
      <c r="F30" s="23">
        <f t="shared" si="5"/>
        <v>0</v>
      </c>
      <c r="G30" s="23">
        <f t="shared" si="5"/>
        <v>45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68.1</v>
      </c>
      <c r="AE30" s="28">
        <f>AE23-AE24-AE25-AE26-AE27-AE28-AE29</f>
        <v>2372.6000000000004</v>
      </c>
    </row>
    <row r="31" spans="1:31" ht="15" customHeight="1">
      <c r="A31" s="4" t="s">
        <v>8</v>
      </c>
      <c r="B31" s="23">
        <v>183.3</v>
      </c>
      <c r="C31" s="23">
        <v>14.1</v>
      </c>
      <c r="D31" s="23"/>
      <c r="E31" s="23">
        <v>1.7</v>
      </c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1.7</v>
      </c>
      <c r="AE31" s="28">
        <f aca="true" t="shared" si="6" ref="AE31:AE36">B31+C31-AD31</f>
        <v>195.70000000000002</v>
      </c>
    </row>
    <row r="32" spans="1:31" ht="15.75">
      <c r="A32" s="3" t="s">
        <v>5</v>
      </c>
      <c r="B32" s="23">
        <v>144.1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0</v>
      </c>
      <c r="AE32" s="28">
        <f t="shared" si="6"/>
        <v>144.1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35.6</v>
      </c>
      <c r="C34" s="23">
        <v>1.4</v>
      </c>
      <c r="D34" s="23"/>
      <c r="E34" s="23">
        <v>1.4</v>
      </c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1.4</v>
      </c>
      <c r="AE34" s="28">
        <f t="shared" si="6"/>
        <v>35.6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3.6000000000000156</v>
      </c>
      <c r="C37" s="23">
        <f t="shared" si="7"/>
        <v>12.7</v>
      </c>
      <c r="D37" s="23">
        <f t="shared" si="7"/>
        <v>0</v>
      </c>
      <c r="E37" s="23">
        <f t="shared" si="7"/>
        <v>0.30000000000000004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0.30000000000000004</v>
      </c>
      <c r="AE37" s="28">
        <f>AE31-AE32-AE34-AE36-AE33-AE35</f>
        <v>16.00000000000002</v>
      </c>
    </row>
    <row r="38" spans="1:31" ht="15" customHeight="1">
      <c r="A38" s="4" t="s">
        <v>35</v>
      </c>
      <c r="B38" s="23">
        <v>660</v>
      </c>
      <c r="C38" s="23">
        <v>94.7</v>
      </c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aca="true" t="shared" si="8" ref="AE38:AE43">B38+C38-AD38</f>
        <v>754.7</v>
      </c>
    </row>
    <row r="39" spans="1:32" ht="15.75">
      <c r="A39" s="3" t="s">
        <v>5</v>
      </c>
      <c r="B39" s="23">
        <v>560.6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0</v>
      </c>
      <c r="AE39" s="28">
        <f t="shared" si="8"/>
        <v>560.6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10.1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10.1</v>
      </c>
    </row>
    <row r="42" spans="1:31" ht="15.75">
      <c r="A42" s="3" t="s">
        <v>2</v>
      </c>
      <c r="B42" s="23">
        <v>66.9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66.9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22.399999999999977</v>
      </c>
      <c r="C44" s="23">
        <f t="shared" si="9"/>
        <v>94.7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</v>
      </c>
      <c r="AE44" s="28">
        <f>AE38-AE39-AE40-AE41-AE42-AE43</f>
        <v>117.10000000000002</v>
      </c>
    </row>
    <row r="45" spans="1:31" ht="15" customHeight="1">
      <c r="A45" s="4" t="s">
        <v>15</v>
      </c>
      <c r="B45" s="37">
        <f>426.9+17.6</f>
        <v>444.5</v>
      </c>
      <c r="C45" s="23">
        <v>555.4</v>
      </c>
      <c r="D45" s="23">
        <v>24</v>
      </c>
      <c r="E45" s="29">
        <v>75</v>
      </c>
      <c r="F45" s="29"/>
      <c r="G45" s="29">
        <v>29.2</v>
      </c>
      <c r="H45" s="29"/>
      <c r="I45" s="29"/>
      <c r="J45" s="30"/>
      <c r="K45" s="29"/>
      <c r="L45" s="29"/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128.2</v>
      </c>
      <c r="AE45" s="28">
        <f>B45+C45-AD45</f>
        <v>871.7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394.2+17.6</f>
        <v>411.8</v>
      </c>
      <c r="C47" s="23">
        <v>497.1</v>
      </c>
      <c r="D47" s="23"/>
      <c r="E47" s="23">
        <v>75</v>
      </c>
      <c r="F47" s="23"/>
      <c r="G47" s="23">
        <v>28.9</v>
      </c>
      <c r="H47" s="23"/>
      <c r="I47" s="23"/>
      <c r="J47" s="27"/>
      <c r="K47" s="23"/>
      <c r="L47" s="23"/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103.9</v>
      </c>
      <c r="AE47" s="28">
        <f>B47+C47-AD47</f>
        <v>805.0000000000001</v>
      </c>
    </row>
    <row r="48" spans="1:31" ht="30">
      <c r="A48" s="65" t="s">
        <v>63</v>
      </c>
      <c r="B48" s="23">
        <v>46.5</v>
      </c>
      <c r="C48" s="23">
        <v>91.8</v>
      </c>
      <c r="D48" s="23"/>
      <c r="E48" s="23"/>
      <c r="F48" s="23"/>
      <c r="G48" s="23">
        <v>29.2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29.2</v>
      </c>
      <c r="AE48" s="28">
        <f>B48+C48-AD48</f>
        <v>109.10000000000001</v>
      </c>
    </row>
    <row r="49" spans="1:31" ht="15.75">
      <c r="A49" s="64" t="s">
        <v>26</v>
      </c>
      <c r="B49" s="23">
        <f aca="true" t="shared" si="10" ref="B49:AB49">B45-B46-B47</f>
        <v>32.69999999999999</v>
      </c>
      <c r="C49" s="23">
        <f t="shared" si="10"/>
        <v>58.299999999999955</v>
      </c>
      <c r="D49" s="23">
        <f t="shared" si="10"/>
        <v>24</v>
      </c>
      <c r="E49" s="23">
        <f t="shared" si="10"/>
        <v>0</v>
      </c>
      <c r="F49" s="23">
        <f t="shared" si="10"/>
        <v>0</v>
      </c>
      <c r="G49" s="23">
        <f t="shared" si="10"/>
        <v>0.3000000000000007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24.3</v>
      </c>
      <c r="AE49" s="28">
        <f>AE45-AE47-AE46</f>
        <v>66.69999999999993</v>
      </c>
    </row>
    <row r="50" spans="1:31" ht="15" customHeight="1">
      <c r="A50" s="4" t="s">
        <v>0</v>
      </c>
      <c r="B50" s="23">
        <v>3907.7</v>
      </c>
      <c r="C50" s="23">
        <v>8384.7</v>
      </c>
      <c r="D50" s="23">
        <v>156.6</v>
      </c>
      <c r="E50" s="23">
        <v>429.4</v>
      </c>
      <c r="F50" s="23"/>
      <c r="G50" s="23">
        <v>94.9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680.9</v>
      </c>
      <c r="AE50" s="28">
        <f aca="true" t="shared" si="11" ref="AE50:AE56">B50+C50-AD50</f>
        <v>11611.500000000002</v>
      </c>
    </row>
    <row r="51" spans="1:32" ht="15" customHeight="1">
      <c r="A51" s="4" t="s">
        <v>9</v>
      </c>
      <c r="B51" s="45">
        <f>4210.5-361.4</f>
        <v>3849.1</v>
      </c>
      <c r="C51" s="23">
        <v>743.2</v>
      </c>
      <c r="D51" s="23">
        <v>5.1</v>
      </c>
      <c r="E51" s="23">
        <v>11.2</v>
      </c>
      <c r="F51" s="23">
        <v>114.4</v>
      </c>
      <c r="G51" s="23"/>
      <c r="H51" s="23"/>
      <c r="I51" s="23"/>
      <c r="J51" s="27"/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130.7</v>
      </c>
      <c r="AE51" s="23">
        <f t="shared" si="11"/>
        <v>4461.6</v>
      </c>
      <c r="AF51" s="6"/>
    </row>
    <row r="52" spans="1:32" ht="15.75">
      <c r="A52" s="3" t="s">
        <v>5</v>
      </c>
      <c r="B52" s="23">
        <f>3277.6+42.9-63.4</f>
        <v>3257.1</v>
      </c>
      <c r="C52" s="23">
        <v>0.6</v>
      </c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3257.7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487.6</v>
      </c>
      <c r="C54" s="23">
        <v>4.3</v>
      </c>
      <c r="D54" s="23"/>
      <c r="E54" s="23">
        <v>4.2</v>
      </c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4.2</v>
      </c>
      <c r="AE54" s="23">
        <f t="shared" si="11"/>
        <v>487.70000000000005</v>
      </c>
    </row>
    <row r="55" spans="1:31" ht="15.75">
      <c r="A55" s="3" t="s">
        <v>17</v>
      </c>
      <c r="B55" s="37">
        <v>2.4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2.4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101.99999999999997</v>
      </c>
      <c r="C57" s="23">
        <f t="shared" si="12"/>
        <v>738.3000000000001</v>
      </c>
      <c r="D57" s="23">
        <f t="shared" si="12"/>
        <v>5.1</v>
      </c>
      <c r="E57" s="23">
        <f t="shared" si="12"/>
        <v>6.999999999999999</v>
      </c>
      <c r="F57" s="23">
        <f t="shared" si="12"/>
        <v>114.4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0</v>
      </c>
      <c r="M57" s="23">
        <f t="shared" si="12"/>
        <v>0</v>
      </c>
      <c r="N57" s="23">
        <f t="shared" si="12"/>
        <v>0</v>
      </c>
      <c r="O57" s="23">
        <f t="shared" si="12"/>
        <v>0</v>
      </c>
      <c r="P57" s="23">
        <f t="shared" si="12"/>
        <v>0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126.49999999999999</v>
      </c>
      <c r="AE57" s="23">
        <f>AE51-AE52-AE54-AE56-AE53-AE55</f>
        <v>713.8000000000005</v>
      </c>
    </row>
    <row r="58" spans="1:31" ht="15" customHeight="1">
      <c r="A58" s="4" t="s">
        <v>10</v>
      </c>
      <c r="B58" s="23">
        <v>28.8</v>
      </c>
      <c r="C58" s="23">
        <v>259.7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0</v>
      </c>
      <c r="AE58" s="23">
        <f aca="true" t="shared" si="14" ref="AE58:AE64">B58+C58-AD58</f>
        <v>288.5</v>
      </c>
    </row>
    <row r="59" spans="1:31" ht="15" customHeight="1">
      <c r="A59" s="4" t="s">
        <v>11</v>
      </c>
      <c r="B59" s="23">
        <v>1117.7</v>
      </c>
      <c r="C59" s="23">
        <v>300.9</v>
      </c>
      <c r="D59" s="23">
        <v>17.7</v>
      </c>
      <c r="E59" s="23">
        <v>6.7</v>
      </c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24.4</v>
      </c>
      <c r="AE59" s="23">
        <f t="shared" si="14"/>
        <v>1394.1999999999998</v>
      </c>
    </row>
    <row r="60" spans="1:32" ht="15.75">
      <c r="A60" s="3" t="s">
        <v>5</v>
      </c>
      <c r="B60" s="23">
        <v>607.2</v>
      </c>
      <c r="C60" s="23">
        <v>0.2</v>
      </c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607.4000000000001</v>
      </c>
      <c r="AF60" s="66"/>
    </row>
    <row r="61" spans="1:32" ht="15.75">
      <c r="A61" s="3" t="s">
        <v>3</v>
      </c>
      <c r="B61" s="23">
        <v>5.2</v>
      </c>
      <c r="C61" s="23">
        <v>0.8</v>
      </c>
      <c r="D61" s="23"/>
      <c r="E61" s="23">
        <v>0.8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0.8</v>
      </c>
      <c r="AE61" s="23">
        <f t="shared" si="14"/>
        <v>5.2</v>
      </c>
      <c r="AF61" s="6"/>
    </row>
    <row r="62" spans="1:32" ht="15.75">
      <c r="A62" s="3" t="s">
        <v>1</v>
      </c>
      <c r="B62" s="23">
        <v>117.2</v>
      </c>
      <c r="C62" s="23">
        <v>12.1</v>
      </c>
      <c r="D62" s="23">
        <v>4.4</v>
      </c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4.4</v>
      </c>
      <c r="AE62" s="23">
        <f t="shared" si="14"/>
        <v>124.9</v>
      </c>
      <c r="AF62" s="6"/>
    </row>
    <row r="63" spans="1:31" ht="15.75">
      <c r="A63" s="3" t="s">
        <v>2</v>
      </c>
      <c r="B63" s="23">
        <v>62.3</v>
      </c>
      <c r="C63" s="23">
        <v>5.3</v>
      </c>
      <c r="D63" s="23"/>
      <c r="E63" s="23">
        <v>5.2</v>
      </c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5.2</v>
      </c>
      <c r="AE63" s="23">
        <f t="shared" si="14"/>
        <v>62.39999999999999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325.8</v>
      </c>
      <c r="C65" s="23">
        <f t="shared" si="15"/>
        <v>282.49999999999994</v>
      </c>
      <c r="D65" s="23">
        <f t="shared" si="15"/>
        <v>13.299999999999999</v>
      </c>
      <c r="E65" s="23">
        <f t="shared" si="15"/>
        <v>0.7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13.999999999999998</v>
      </c>
      <c r="AE65" s="23">
        <f>AE59-AE60-AE63-AE64-AE62-AE61</f>
        <v>594.2999999999997</v>
      </c>
    </row>
    <row r="66" spans="1:31" ht="31.5">
      <c r="A66" s="4" t="s">
        <v>34</v>
      </c>
      <c r="B66" s="23">
        <v>18</v>
      </c>
      <c r="C66" s="23">
        <v>1002</v>
      </c>
      <c r="D66" s="23"/>
      <c r="E66" s="23"/>
      <c r="F66" s="23"/>
      <c r="G66" s="23">
        <v>196.3</v>
      </c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196.3</v>
      </c>
      <c r="AE66" s="31">
        <f aca="true" t="shared" si="16" ref="AE66:AE78">B66+C66-AD66</f>
        <v>823.7</v>
      </c>
    </row>
    <row r="67" spans="1:31" ht="15.75">
      <c r="A67" s="4" t="s">
        <v>43</v>
      </c>
      <c r="B67" s="23">
        <v>6.4</v>
      </c>
      <c r="C67" s="23">
        <v>12.6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19</v>
      </c>
    </row>
    <row r="68" spans="1:48" ht="31.5">
      <c r="A68" s="4" t="s">
        <v>22</v>
      </c>
      <c r="B68" s="23">
        <v>0</v>
      </c>
      <c r="C68" s="29">
        <v>0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822.9-17.6+27-50</f>
        <v>782.3</v>
      </c>
      <c r="C69" s="23">
        <v>1904.4</v>
      </c>
      <c r="D69" s="23"/>
      <c r="E69" s="23">
        <v>12.9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12.9</v>
      </c>
      <c r="AE69" s="31">
        <f t="shared" si="16"/>
        <v>2673.7999999999997</v>
      </c>
    </row>
    <row r="70" spans="1:31" ht="15" customHeight="1">
      <c r="A70" s="3" t="s">
        <v>5</v>
      </c>
      <c r="B70" s="23">
        <v>40.4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40.4</v>
      </c>
    </row>
    <row r="71" spans="1:31" ht="15" customHeight="1">
      <c r="A71" s="3" t="s">
        <v>2</v>
      </c>
      <c r="B71" s="23">
        <v>252.9</v>
      </c>
      <c r="C71" s="23">
        <v>0</v>
      </c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252.9</v>
      </c>
    </row>
    <row r="72" spans="1:31" s="11" customFormat="1" ht="31.5">
      <c r="A72" s="12" t="s">
        <v>21</v>
      </c>
      <c r="B72" s="23">
        <v>137.5</v>
      </c>
      <c r="C72" s="23">
        <v>571.3</v>
      </c>
      <c r="D72" s="23"/>
      <c r="E72" s="29">
        <v>10.5</v>
      </c>
      <c r="F72" s="29"/>
      <c r="G72" s="29"/>
      <c r="H72" s="29"/>
      <c r="I72" s="29"/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10.5</v>
      </c>
      <c r="AE72" s="31">
        <f t="shared" si="16"/>
        <v>698.3</v>
      </c>
    </row>
    <row r="73" spans="1:31" s="11" customFormat="1" ht="15.75">
      <c r="A73" s="3" t="s">
        <v>5</v>
      </c>
      <c r="B73" s="23">
        <v>62.7</v>
      </c>
      <c r="C73" s="23">
        <v>1.4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64.10000000000001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3.5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3.5</v>
      </c>
    </row>
    <row r="76" spans="1:31" s="11" customFormat="1" ht="15.75">
      <c r="A76" s="3" t="s">
        <v>2</v>
      </c>
      <c r="B76" s="23">
        <v>4.3</v>
      </c>
      <c r="C76" s="23">
        <v>0.1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4.3999999999999995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300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333.3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53217.100000000006</v>
      </c>
      <c r="C90" s="43">
        <f t="shared" si="18"/>
        <v>20832.200000000004</v>
      </c>
      <c r="D90" s="43">
        <f t="shared" si="18"/>
        <v>2013.4999999999998</v>
      </c>
      <c r="E90" s="43">
        <f t="shared" si="18"/>
        <v>737.2</v>
      </c>
      <c r="F90" s="43">
        <f t="shared" si="18"/>
        <v>167.10000000000002</v>
      </c>
      <c r="G90" s="43">
        <f t="shared" si="18"/>
        <v>439.70000000000005</v>
      </c>
      <c r="H90" s="43">
        <f t="shared" si="18"/>
        <v>0</v>
      </c>
      <c r="I90" s="43">
        <f t="shared" si="18"/>
        <v>0</v>
      </c>
      <c r="J90" s="43">
        <f t="shared" si="18"/>
        <v>0</v>
      </c>
      <c r="K90" s="43">
        <f t="shared" si="18"/>
        <v>0</v>
      </c>
      <c r="L90" s="43">
        <f t="shared" si="18"/>
        <v>0</v>
      </c>
      <c r="M90" s="43">
        <f t="shared" si="18"/>
        <v>0</v>
      </c>
      <c r="N90" s="43">
        <f t="shared" si="18"/>
        <v>0</v>
      </c>
      <c r="O90" s="43">
        <f t="shared" si="18"/>
        <v>0</v>
      </c>
      <c r="P90" s="43">
        <f t="shared" si="18"/>
        <v>0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3357.5</v>
      </c>
      <c r="AE90" s="60">
        <f>AE10+AE15+AE23+AE31+AE45+AE50+AE51+AE58+AE59+AE66+AE68+AE69+AE72+AE77+AE78+AE79+AE84+AE85+AE86+AE87+AE67+AE38+AE88</f>
        <v>70691.8</v>
      </c>
    </row>
    <row r="91" spans="1:31" ht="15.75">
      <c r="A91" s="3" t="s">
        <v>5</v>
      </c>
      <c r="B91" s="23">
        <f aca="true" t="shared" si="19" ref="B91:AB91">B11+B16+B24+B32+B52+B60+B70+B39+B73</f>
        <v>34132.79999999999</v>
      </c>
      <c r="C91" s="23">
        <f t="shared" si="19"/>
        <v>1835.2</v>
      </c>
      <c r="D91" s="23">
        <f t="shared" si="19"/>
        <v>1614.4</v>
      </c>
      <c r="E91" s="23">
        <f t="shared" si="19"/>
        <v>0</v>
      </c>
      <c r="F91" s="23">
        <f t="shared" si="19"/>
        <v>8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0</v>
      </c>
      <c r="K91" s="23">
        <f t="shared" si="19"/>
        <v>0</v>
      </c>
      <c r="L91" s="23">
        <f t="shared" si="19"/>
        <v>0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1622.4</v>
      </c>
      <c r="AE91" s="28">
        <f>B91+C91-AD91</f>
        <v>34345.599999999984</v>
      </c>
    </row>
    <row r="92" spans="1:31" ht="15.75">
      <c r="A92" s="3" t="s">
        <v>2</v>
      </c>
      <c r="B92" s="23">
        <f aca="true" t="shared" si="20" ref="B92:X92">B12+B19+B27+B34+B54+B63+B42+B76+B71</f>
        <v>7373.799999999999</v>
      </c>
      <c r="C92" s="23">
        <f t="shared" si="20"/>
        <v>431.40000000000003</v>
      </c>
      <c r="D92" s="23">
        <f t="shared" si="20"/>
        <v>0</v>
      </c>
      <c r="E92" s="23">
        <f t="shared" si="20"/>
        <v>25.1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0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0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25.1</v>
      </c>
      <c r="AE92" s="28">
        <f>B92+C92-AD92</f>
        <v>7780.0999999999985</v>
      </c>
    </row>
    <row r="93" spans="1:31" ht="15.75">
      <c r="A93" s="3" t="s">
        <v>3</v>
      </c>
      <c r="B93" s="23">
        <f aca="true" t="shared" si="21" ref="B93:Y93">B17+B25+B40+B61+B74</f>
        <v>2838.5</v>
      </c>
      <c r="C93" s="23">
        <f t="shared" si="21"/>
        <v>351.3</v>
      </c>
      <c r="D93" s="23">
        <f t="shared" si="21"/>
        <v>0</v>
      </c>
      <c r="E93" s="23">
        <f t="shared" si="21"/>
        <v>129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129</v>
      </c>
      <c r="AE93" s="28">
        <f>B93+C93-AD93</f>
        <v>3060.8</v>
      </c>
    </row>
    <row r="94" spans="1:31" ht="15.75">
      <c r="A94" s="3" t="s">
        <v>1</v>
      </c>
      <c r="B94" s="23">
        <f aca="true" t="shared" si="22" ref="B94:Y94">B18+B26+B62+B33+B41+B53+B46+B75</f>
        <v>2135.3999999999996</v>
      </c>
      <c r="C94" s="23">
        <f t="shared" si="22"/>
        <v>771</v>
      </c>
      <c r="D94" s="23">
        <f t="shared" si="22"/>
        <v>188.79999999999998</v>
      </c>
      <c r="E94" s="23">
        <f t="shared" si="22"/>
        <v>0</v>
      </c>
      <c r="F94" s="23">
        <f t="shared" si="22"/>
        <v>44.7</v>
      </c>
      <c r="G94" s="23">
        <f t="shared" si="22"/>
        <v>74.3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0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0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307.8</v>
      </c>
      <c r="AE94" s="28">
        <f>B94+C94-AD94</f>
        <v>2598.5999999999995</v>
      </c>
    </row>
    <row r="95" spans="1:31" ht="15.75">
      <c r="A95" s="3" t="s">
        <v>17</v>
      </c>
      <c r="B95" s="23">
        <f aca="true" t="shared" si="23" ref="B95:AB95">B20+B28+B47+B35+B55+B13</f>
        <v>545.4</v>
      </c>
      <c r="C95" s="23">
        <f t="shared" si="23"/>
        <v>563.5</v>
      </c>
      <c r="D95" s="23">
        <f t="shared" si="23"/>
        <v>3.6</v>
      </c>
      <c r="E95" s="23">
        <f t="shared" si="23"/>
        <v>75</v>
      </c>
      <c r="F95" s="23">
        <f t="shared" si="23"/>
        <v>0</v>
      </c>
      <c r="G95" s="23">
        <f t="shared" si="23"/>
        <v>28.9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0</v>
      </c>
      <c r="P95" s="23">
        <f t="shared" si="23"/>
        <v>0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107.5</v>
      </c>
      <c r="AE95" s="28">
        <f>B95+C95-AD95</f>
        <v>1001.4000000000001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1165.7</v>
      </c>
      <c r="AE96" s="2">
        <f>AE90-AE91-AE92-AE93-AE94-AE95</f>
        <v>21905.30000000002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2013.4999999999998</v>
      </c>
      <c r="E99" s="54">
        <f aca="true" t="shared" si="24" ref="E99:Y99">E90+D99</f>
        <v>2750.7</v>
      </c>
      <c r="F99" s="54">
        <f t="shared" si="24"/>
        <v>2917.7999999999997</v>
      </c>
      <c r="G99" s="54">
        <f t="shared" si="24"/>
        <v>3357.5</v>
      </c>
      <c r="H99" s="54">
        <f t="shared" si="24"/>
        <v>3357.5</v>
      </c>
      <c r="I99" s="54">
        <f t="shared" si="24"/>
        <v>3357.5</v>
      </c>
      <c r="J99" s="54">
        <f t="shared" si="24"/>
        <v>3357.5</v>
      </c>
      <c r="K99" s="54">
        <f t="shared" si="24"/>
        <v>3357.5</v>
      </c>
      <c r="L99" s="54">
        <f t="shared" si="24"/>
        <v>3357.5</v>
      </c>
      <c r="M99" s="54">
        <f t="shared" si="24"/>
        <v>3357.5</v>
      </c>
      <c r="N99" s="54">
        <f t="shared" si="24"/>
        <v>3357.5</v>
      </c>
      <c r="O99" s="54">
        <f t="shared" si="24"/>
        <v>3357.5</v>
      </c>
      <c r="P99" s="54">
        <f t="shared" si="24"/>
        <v>3357.5</v>
      </c>
      <c r="Q99" s="54">
        <f t="shared" si="24"/>
        <v>3357.5</v>
      </c>
      <c r="R99" s="54">
        <f t="shared" si="24"/>
        <v>3357.5</v>
      </c>
      <c r="S99" s="54">
        <f t="shared" si="24"/>
        <v>3357.5</v>
      </c>
      <c r="T99" s="54">
        <f t="shared" si="24"/>
        <v>3357.5</v>
      </c>
      <c r="U99" s="54">
        <f t="shared" si="24"/>
        <v>3357.5</v>
      </c>
      <c r="V99" s="54">
        <f t="shared" si="24"/>
        <v>3357.5</v>
      </c>
      <c r="W99" s="54">
        <f t="shared" si="24"/>
        <v>3357.5</v>
      </c>
      <c r="X99" s="54">
        <f t="shared" si="24"/>
        <v>3357.5</v>
      </c>
      <c r="Y99" s="54">
        <f t="shared" si="24"/>
        <v>3357.5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N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R56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68" sqref="C6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J71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D74" sqref="AD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12413.5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>
        <v>585.4</v>
      </c>
      <c r="V8" s="57">
        <v>1276.9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585.4</v>
      </c>
      <c r="V9" s="25">
        <f t="shared" si="0"/>
        <v>1276.8999999999999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67257.10000000002</v>
      </c>
      <c r="AE9" s="51">
        <f>AE10+AE15+AE23+AE31+AE45+AE49+AE50+AE57+AE58+AE67+AE68+AE71+AE81+AE74+AE76+AE75+AE65+AE82+AE84+AE83+AE66+AE38+AE85</f>
        <v>34524.09999999999</v>
      </c>
      <c r="AG9" s="50"/>
    </row>
    <row r="10" spans="1:31" ht="15.75">
      <c r="A10" s="4" t="s">
        <v>4</v>
      </c>
      <c r="B10" s="23">
        <f>3615.5+36.6-0.1</f>
        <v>3652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>
        <v>98.9</v>
      </c>
      <c r="V10" s="23">
        <v>140.3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3961.6000000000004</v>
      </c>
      <c r="AE10" s="28">
        <f>B10+C10-AD10</f>
        <v>2039.1999999999998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58.2-6.5+3.5+36.5</f>
        <v>91.7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>
        <v>31</v>
      </c>
      <c r="W12" s="27"/>
      <c r="X12" s="27"/>
      <c r="Y12" s="27"/>
      <c r="Z12" s="23"/>
      <c r="AA12" s="23"/>
      <c r="AB12" s="23"/>
      <c r="AC12" s="23"/>
      <c r="AD12" s="23">
        <f t="shared" si="1"/>
        <v>153.60000000000002</v>
      </c>
      <c r="AE12" s="28">
        <f>B12+C12-AD12</f>
        <v>223.39999999999998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98.9</v>
      </c>
      <c r="V14" s="23">
        <f t="shared" si="2"/>
        <v>109.30000000000001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800.6000000000001</v>
      </c>
      <c r="AE14" s="28">
        <f>AE10-AE11-AE12-AE13</f>
        <v>1098.1000000000004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>
        <v>165.8</v>
      </c>
      <c r="V15" s="23">
        <v>121.8</v>
      </c>
      <c r="W15" s="27"/>
      <c r="X15" s="27"/>
      <c r="Y15" s="27"/>
      <c r="Z15" s="23"/>
      <c r="AA15" s="23"/>
      <c r="AB15" s="23"/>
      <c r="AC15" s="23"/>
      <c r="AD15" s="28">
        <f t="shared" si="1"/>
        <v>35807.00000000001</v>
      </c>
      <c r="AE15" s="28">
        <f aca="true" t="shared" si="3" ref="AE15:AE29">B15+C15-AD15</f>
        <v>12055.499999999993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1457.1+88.6+0.1</f>
        <v>1545.7999999999997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>
        <v>91.6</v>
      </c>
      <c r="W18" s="27"/>
      <c r="X18" s="27"/>
      <c r="Y18" s="27"/>
      <c r="Z18" s="23"/>
      <c r="AA18" s="23"/>
      <c r="AB18" s="23"/>
      <c r="AC18" s="23"/>
      <c r="AD18" s="28">
        <f t="shared" si="1"/>
        <v>1559.5</v>
      </c>
      <c r="AE18" s="28">
        <f t="shared" si="3"/>
        <v>459.1999999999998</v>
      </c>
    </row>
    <row r="19" spans="1:31" ht="15.75">
      <c r="A19" s="3" t="s">
        <v>2</v>
      </c>
      <c r="B19" s="23">
        <f>584.3-88.6-0.1</f>
        <v>495.5999999999999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7469.700000000001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>
        <v>115.8</v>
      </c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134.3</v>
      </c>
      <c r="AE20" s="28">
        <f t="shared" si="3"/>
        <v>32.89999999999998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269.699999999996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50.000000000000014</v>
      </c>
      <c r="V22" s="23">
        <f t="shared" si="4"/>
        <v>30.200000000000003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298.7999999999993</v>
      </c>
      <c r="AE22" s="28">
        <f t="shared" si="3"/>
        <v>495.7999999999945</v>
      </c>
    </row>
    <row r="23" spans="1:31" ht="15" customHeight="1">
      <c r="A23" s="4" t="s">
        <v>7</v>
      </c>
      <c r="B23" s="23">
        <f>16962.4+116.8+0.1</f>
        <v>17079.3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>
        <v>108.9</v>
      </c>
      <c r="V23" s="23">
        <v>133.6</v>
      </c>
      <c r="W23" s="27"/>
      <c r="X23" s="27"/>
      <c r="Y23" s="27"/>
      <c r="Z23" s="23"/>
      <c r="AA23" s="23"/>
      <c r="AB23" s="23"/>
      <c r="AC23" s="23"/>
      <c r="AD23" s="28">
        <f t="shared" si="1"/>
        <v>16680.2</v>
      </c>
      <c r="AE23" s="28">
        <f t="shared" si="3"/>
        <v>7358.700000000001</v>
      </c>
    </row>
    <row r="24" spans="1:32" ht="15.75">
      <c r="A24" s="3" t="s">
        <v>5</v>
      </c>
      <c r="B24" s="23">
        <f>14000-0.1</f>
        <v>13999.9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1706.7999999999975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>
        <v>33.6</v>
      </c>
      <c r="W26" s="27"/>
      <c r="X26" s="27"/>
      <c r="Y26" s="27"/>
      <c r="Z26" s="23"/>
      <c r="AA26" s="23"/>
      <c r="AB26" s="23"/>
      <c r="AC26" s="23"/>
      <c r="AD26" s="28">
        <f t="shared" si="1"/>
        <v>280.8</v>
      </c>
      <c r="AE26" s="28">
        <f t="shared" si="3"/>
        <v>43.099999999999966</v>
      </c>
    </row>
    <row r="27" spans="1:31" ht="15.75">
      <c r="A27" s="3" t="s">
        <v>2</v>
      </c>
      <c r="B27" s="23">
        <f>1153.2+31.9+72.4</f>
        <v>1257.5000000000002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1971.5000000000005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>
        <v>8.9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127.5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979.6999999999991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100</v>
      </c>
      <c r="V30" s="23">
        <f t="shared" si="5"/>
        <v>100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1493.6999999999996</v>
      </c>
      <c r="AE30" s="28">
        <f>AE23-AE24-AE25-AE26-AE27-AE28-AE29</f>
        <v>1967.4000000000028</v>
      </c>
    </row>
    <row r="31" spans="1:31" ht="15" customHeight="1">
      <c r="A31" s="4" t="s">
        <v>8</v>
      </c>
      <c r="B31" s="23">
        <f>586.1+7.7-0.1</f>
        <v>593.7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>
        <v>1.9</v>
      </c>
      <c r="W31" s="27"/>
      <c r="X31" s="27"/>
      <c r="Y31" s="27"/>
      <c r="Z31" s="23"/>
      <c r="AA31" s="23"/>
      <c r="AB31" s="23"/>
      <c r="AC31" s="23"/>
      <c r="AD31" s="28">
        <f t="shared" si="1"/>
        <v>211.4</v>
      </c>
      <c r="AE31" s="28">
        <f aca="true" t="shared" si="6" ref="AE31:AE36">B31+C31-AD31</f>
        <v>496.70000000000005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>
        <v>1.9</v>
      </c>
      <c r="W34" s="27"/>
      <c r="X34" s="27"/>
      <c r="Y34" s="27"/>
      <c r="Z34" s="23"/>
      <c r="AA34" s="23"/>
      <c r="AB34" s="23"/>
      <c r="AC34" s="23"/>
      <c r="AD34" s="28">
        <f t="shared" si="1"/>
        <v>12.2</v>
      </c>
      <c r="AE34" s="28">
        <f t="shared" si="6"/>
        <v>40.099999999999994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17.500000000000057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>
        <v>10.5</v>
      </c>
      <c r="W38" s="27"/>
      <c r="X38" s="27"/>
      <c r="Y38" s="27"/>
      <c r="Z38" s="23"/>
      <c r="AA38" s="23"/>
      <c r="AB38" s="23"/>
      <c r="AC38" s="23"/>
      <c r="AD38" s="28">
        <f t="shared" si="1"/>
        <v>550.3000000000001</v>
      </c>
      <c r="AE38" s="28">
        <f aca="true" t="shared" si="8" ref="AE38:AE43">B38+C38-AD38</f>
        <v>196.4999999999999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>
        <v>0.5</v>
      </c>
      <c r="W42" s="27"/>
      <c r="X42" s="27"/>
      <c r="Y42" s="27"/>
      <c r="Z42" s="23"/>
      <c r="AA42" s="23"/>
      <c r="AB42" s="23"/>
      <c r="AC42" s="23"/>
      <c r="AD42" s="28">
        <f t="shared" si="1"/>
        <v>23.200000000000003</v>
      </c>
      <c r="AE42" s="28">
        <f t="shared" si="8"/>
        <v>71.7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10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56.7</v>
      </c>
      <c r="AE44" s="28">
        <f>AE38-AE39-AE40-AE41-AE42-AE43</f>
        <v>90.3999999999999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>
        <v>112.9</v>
      </c>
      <c r="W45" s="30"/>
      <c r="X45" s="30"/>
      <c r="Y45" s="30"/>
      <c r="Z45" s="29"/>
      <c r="AA45" s="29"/>
      <c r="AB45" s="29"/>
      <c r="AC45" s="29"/>
      <c r="AD45" s="28">
        <f t="shared" si="1"/>
        <v>414.9</v>
      </c>
      <c r="AE45" s="28">
        <f>B45+C45-AD45</f>
        <v>353.80000000000007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>
        <v>2.5</v>
      </c>
      <c r="W46" s="30"/>
      <c r="X46" s="30"/>
      <c r="Y46" s="30"/>
      <c r="Z46" s="29"/>
      <c r="AA46" s="29"/>
      <c r="AB46" s="29"/>
      <c r="AC46" s="29"/>
      <c r="AD46" s="28">
        <f t="shared" si="1"/>
        <v>2.5</v>
      </c>
      <c r="AE46" s="28">
        <f>B46+C46-AD46</f>
        <v>0</v>
      </c>
    </row>
    <row r="47" spans="1:31" ht="15.75">
      <c r="A47" s="3" t="s">
        <v>17</v>
      </c>
      <c r="B47" s="23">
        <f>563.4-3.4-0.4+10.3+0.2</f>
        <v>570.1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>
        <v>84.6</v>
      </c>
      <c r="W47" s="27"/>
      <c r="X47" s="27"/>
      <c r="Y47" s="27"/>
      <c r="Z47" s="23"/>
      <c r="AA47" s="23"/>
      <c r="AB47" s="23"/>
      <c r="AC47" s="23"/>
      <c r="AD47" s="28">
        <f t="shared" si="1"/>
        <v>377.79999999999995</v>
      </c>
      <c r="AE47" s="28">
        <f>B47+C47-AD47</f>
        <v>277.80000000000007</v>
      </c>
    </row>
    <row r="48" spans="1:31" ht="15.75">
      <c r="A48" s="3" t="s">
        <v>26</v>
      </c>
      <c r="B48" s="23">
        <f aca="true" t="shared" si="10" ref="B48:AB48">B45-B46-B47</f>
        <v>48.60000000000002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25.80000000000001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34.60000000000002</v>
      </c>
      <c r="AE48" s="28">
        <f>AE45-AE47-AE46</f>
        <v>76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>
        <v>138.2</v>
      </c>
      <c r="V49" s="23">
        <v>500</v>
      </c>
      <c r="W49" s="27"/>
      <c r="X49" s="27"/>
      <c r="Y49" s="27"/>
      <c r="Z49" s="23"/>
      <c r="AA49" s="23"/>
      <c r="AB49" s="23"/>
      <c r="AC49" s="23"/>
      <c r="AD49" s="28">
        <f t="shared" si="1"/>
        <v>2457.5</v>
      </c>
      <c r="AE49" s="28">
        <f aca="true" t="shared" si="11" ref="AE49:AE55">B49+C49-AD49</f>
        <v>6487.299999999999</v>
      </c>
    </row>
    <row r="50" spans="1:32" ht="15" customHeight="1">
      <c r="A50" s="4" t="s">
        <v>9</v>
      </c>
      <c r="B50" s="45">
        <f>3153.7-0.1</f>
        <v>3153.6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>
        <v>23.6</v>
      </c>
      <c r="V50" s="23">
        <v>102</v>
      </c>
      <c r="W50" s="27"/>
      <c r="X50" s="27"/>
      <c r="Y50" s="27"/>
      <c r="Z50" s="23"/>
      <c r="AA50" s="23"/>
      <c r="AB50" s="23"/>
      <c r="AC50" s="23"/>
      <c r="AD50" s="28">
        <f t="shared" si="1"/>
        <v>3293.9999999999995</v>
      </c>
      <c r="AE50" s="23">
        <f t="shared" si="11"/>
        <v>1368.9</v>
      </c>
      <c r="AF50" s="6"/>
    </row>
    <row r="51" spans="1:32" ht="15.75">
      <c r="A51" s="3" t="s">
        <v>5</v>
      </c>
      <c r="B51" s="23">
        <f>2408+0.1</f>
        <v>2408.1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215.69999999999982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>
        <v>48</v>
      </c>
      <c r="W53" s="27"/>
      <c r="X53" s="27"/>
      <c r="Y53" s="27"/>
      <c r="Z53" s="23"/>
      <c r="AA53" s="23"/>
      <c r="AB53" s="23"/>
      <c r="AC53" s="23"/>
      <c r="AD53" s="28">
        <f t="shared" si="1"/>
        <v>151.8</v>
      </c>
      <c r="AE53" s="23">
        <f t="shared" si="11"/>
        <v>315.2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>
        <v>3.6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710.1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20</v>
      </c>
      <c r="V56" s="23">
        <f t="shared" si="12"/>
        <v>54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770.2999999999994</v>
      </c>
      <c r="AE56" s="23">
        <f>AE50-AE51-AE53-AE55-AE52-AE54</f>
        <v>838.0000000000002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>
        <v>20.3</v>
      </c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71.5</v>
      </c>
      <c r="AE57" s="23">
        <f aca="true" t="shared" si="14" ref="AE57:AE63">B57+C57-AD57</f>
        <v>258.8</v>
      </c>
    </row>
    <row r="58" spans="1:31" ht="15" customHeight="1">
      <c r="A58" s="4" t="s">
        <v>11</v>
      </c>
      <c r="B58" s="23">
        <f>1196.3-7.7+0.1</f>
        <v>1188.6999999999998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>
        <v>50</v>
      </c>
      <c r="V58" s="23">
        <v>64.4</v>
      </c>
      <c r="W58" s="27"/>
      <c r="X58" s="27"/>
      <c r="Y58" s="27"/>
      <c r="Z58" s="23"/>
      <c r="AA58" s="23"/>
      <c r="AB58" s="23"/>
      <c r="AC58" s="23"/>
      <c r="AD58" s="28">
        <f t="shared" si="13"/>
        <v>1175.5000000000002</v>
      </c>
      <c r="AE58" s="23">
        <f t="shared" si="14"/>
        <v>566.1999999999996</v>
      </c>
    </row>
    <row r="59" spans="1:32" ht="15.75">
      <c r="A59" s="3" t="s">
        <v>5</v>
      </c>
      <c r="B59" s="23">
        <f>649.4+0.1</f>
        <v>649.5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24.100000000000023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40.4+0.1</f>
        <v>40.5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>
        <v>2.5</v>
      </c>
      <c r="W61" s="27"/>
      <c r="X61" s="27"/>
      <c r="Y61" s="27"/>
      <c r="Z61" s="23"/>
      <c r="AA61" s="23"/>
      <c r="AB61" s="23"/>
      <c r="AC61" s="23"/>
      <c r="AD61" s="28">
        <f t="shared" si="13"/>
        <v>31.4</v>
      </c>
      <c r="AE61" s="23">
        <f t="shared" si="14"/>
        <v>67.5</v>
      </c>
      <c r="AF61" s="6"/>
    </row>
    <row r="62" spans="1:31" ht="15.75">
      <c r="A62" s="3" t="s">
        <v>2</v>
      </c>
      <c r="B62" s="23">
        <f>37.1-7.7+0.1</f>
        <v>29.500000000000004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>
        <v>12</v>
      </c>
      <c r="W62" s="27"/>
      <c r="X62" s="27"/>
      <c r="Y62" s="27"/>
      <c r="Z62" s="23"/>
      <c r="AA62" s="23"/>
      <c r="AB62" s="23"/>
      <c r="AC62" s="23"/>
      <c r="AD62" s="28">
        <f t="shared" si="13"/>
        <v>20.7</v>
      </c>
      <c r="AE62" s="23">
        <f t="shared" si="14"/>
        <v>67.3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469.1999999999998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50</v>
      </c>
      <c r="V64" s="23">
        <f t="shared" si="15"/>
        <v>49.900000000000006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472.6</v>
      </c>
      <c r="AE64" s="23">
        <f>AE58-AE59-AE62-AE63-AE61-AE60</f>
        <v>407.29999999999956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>
        <v>6.1</v>
      </c>
      <c r="W65" s="27"/>
      <c r="X65" s="27"/>
      <c r="Y65" s="27"/>
      <c r="Z65" s="23"/>
      <c r="AA65" s="23"/>
      <c r="AB65" s="23"/>
      <c r="AC65" s="23"/>
      <c r="AD65" s="28">
        <f t="shared" si="13"/>
        <v>6.1</v>
      </c>
      <c r="AE65" s="31">
        <f aca="true" t="shared" si="16" ref="AE65:AE75">B65+C65-AD65</f>
        <v>1232.5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642.5-116.8+0.1</f>
        <v>525.8000000000001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>
        <v>63</v>
      </c>
      <c r="W68" s="27"/>
      <c r="X68" s="27"/>
      <c r="Y68" s="27"/>
      <c r="Z68" s="23"/>
      <c r="AA68" s="23"/>
      <c r="AB68" s="23"/>
      <c r="AC68" s="23"/>
      <c r="AD68" s="28">
        <f t="shared" si="13"/>
        <v>452.5</v>
      </c>
      <c r="AE68" s="31">
        <f t="shared" si="16"/>
        <v>1473.7000000000003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>
        <v>13.4</v>
      </c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0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138.5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>
        <v>0.1</v>
      </c>
      <c r="W71" s="30"/>
      <c r="X71" s="30"/>
      <c r="Y71" s="30"/>
      <c r="Z71" s="29"/>
      <c r="AA71" s="29"/>
      <c r="AB71" s="29"/>
      <c r="AC71" s="29"/>
      <c r="AD71" s="28">
        <f t="shared" si="13"/>
        <v>75.1</v>
      </c>
      <c r="AE71" s="31">
        <f t="shared" si="16"/>
        <v>74.80000000000001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0.3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4.9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67573.49999999999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585.4</v>
      </c>
      <c r="V87" s="43">
        <f t="shared" si="18"/>
        <v>1276.8999999999999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67257.1</v>
      </c>
      <c r="AE87" s="60">
        <f>AE10+AE15+AE23+AE31+AE45+AE49+AE50+AE57+AE58+AE65+AE67+AE68+AE71+AE74+AE75+AE76+AE81+AE82+AE83+AE84+AE66+AE38+AE85</f>
        <v>34524.09999999999</v>
      </c>
    </row>
    <row r="88" spans="1:31" ht="15.75">
      <c r="A88" s="3" t="s">
        <v>5</v>
      </c>
      <c r="B88" s="23">
        <f aca="true" t="shared" si="19" ref="B88:AB88">B11+B16+B24+B32+B51+B59+B69+B39+B72</f>
        <v>52854.700000000004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13.4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50125.799999999996</v>
      </c>
      <c r="AE88" s="28">
        <f>B88+C88-AD88</f>
        <v>6322.600000000006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93.4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5484</v>
      </c>
      <c r="AE89" s="28">
        <f>B89+C89-AD89</f>
        <v>10527.800000000003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1817.7999999999997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130.2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1877.8</v>
      </c>
      <c r="AE91" s="28">
        <f>B91+C91-AD91</f>
        <v>570.3999999999999</v>
      </c>
    </row>
    <row r="92" spans="1:31" ht="15.75">
      <c r="A92" s="3" t="s">
        <v>17</v>
      </c>
      <c r="B92" s="23">
        <f aca="true" t="shared" si="23" ref="B92:AB92">B20+B28+B47+B35+B54+B13</f>
        <v>1255.8999999999999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128.3</v>
      </c>
      <c r="V92" s="23">
        <f t="shared" si="23"/>
        <v>84.6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643.2</v>
      </c>
      <c r="AE92" s="28">
        <f>B92+C92-AD92</f>
        <v>733.1999999999998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65980.2</v>
      </c>
      <c r="V96" s="54">
        <f t="shared" si="24"/>
        <v>67257.09999999999</v>
      </c>
      <c r="W96" s="54">
        <f t="shared" si="24"/>
        <v>67257.09999999999</v>
      </c>
      <c r="X96" s="54">
        <f t="shared" si="24"/>
        <v>67257.09999999999</v>
      </c>
      <c r="Y96" s="54">
        <f t="shared" si="24"/>
        <v>67257.09999999999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L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E74" sqref="AE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58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55032.7</v>
      </c>
      <c r="C6" s="46"/>
      <c r="D6" s="46"/>
      <c r="E6" s="47"/>
      <c r="F6" s="47"/>
      <c r="G6" s="47"/>
      <c r="H6" s="47"/>
      <c r="I6" s="47"/>
      <c r="J6" s="48"/>
      <c r="K6" s="47">
        <v>28620</v>
      </c>
      <c r="L6" s="47"/>
      <c r="M6" s="47"/>
      <c r="N6" s="47"/>
      <c r="O6" s="47"/>
      <c r="P6" s="47"/>
      <c r="Q6" s="47"/>
      <c r="R6" s="47"/>
      <c r="S6" s="48"/>
      <c r="T6" s="48"/>
      <c r="U6" s="47">
        <v>26412.7</v>
      </c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10136.2</v>
      </c>
      <c r="C8" s="41">
        <v>0</v>
      </c>
      <c r="D8" s="44">
        <v>747.4</v>
      </c>
      <c r="E8" s="56">
        <v>261.5</v>
      </c>
      <c r="F8" s="56">
        <v>704.6</v>
      </c>
      <c r="G8" s="56">
        <v>348.5</v>
      </c>
      <c r="H8" s="56">
        <v>514.2</v>
      </c>
      <c r="I8" s="56">
        <v>1200.5</v>
      </c>
      <c r="J8" s="57">
        <v>285.7</v>
      </c>
      <c r="K8" s="56">
        <v>315</v>
      </c>
      <c r="L8" s="56">
        <v>286.5</v>
      </c>
      <c r="M8" s="56">
        <v>1069.2</v>
      </c>
      <c r="N8" s="56">
        <v>329.6</v>
      </c>
      <c r="O8" s="56">
        <v>226.3</v>
      </c>
      <c r="P8" s="56">
        <v>333.7</v>
      </c>
      <c r="Q8" s="56">
        <v>408.3</v>
      </c>
      <c r="R8" s="56">
        <v>849.1</v>
      </c>
      <c r="S8" s="58">
        <v>464.9</v>
      </c>
      <c r="T8" s="58">
        <v>332.2</v>
      </c>
      <c r="U8" s="56">
        <v>475.1</v>
      </c>
      <c r="V8" s="57">
        <v>983.9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57766.40000000001</v>
      </c>
      <c r="C9" s="25">
        <f>C10+C15+C23+C31+C45+C49+C50+C57+C58+C67+C68+C81+C71+C74+C76+C75+C65+C82+C83+C84+C66+C38+C85</f>
        <v>28642.5</v>
      </c>
      <c r="D9" s="25">
        <f aca="true" t="shared" si="0" ref="D9:Y9">D10+D15+D23+D31+D45+D49+D50+D57+D58+D67+D68+D81+D71+D74+D76+D75+D65+D82+D84+D83+D38+D85+D66</f>
        <v>747.4</v>
      </c>
      <c r="E9" s="25">
        <f t="shared" si="0"/>
        <v>261.5</v>
      </c>
      <c r="F9" s="25">
        <f t="shared" si="0"/>
        <v>704.5999999999999</v>
      </c>
      <c r="G9" s="25">
        <f t="shared" si="0"/>
        <v>347.6</v>
      </c>
      <c r="H9" s="25">
        <f t="shared" si="0"/>
        <v>515.1</v>
      </c>
      <c r="I9" s="25">
        <f t="shared" si="0"/>
        <v>1200.5</v>
      </c>
      <c r="J9" s="25">
        <f t="shared" si="0"/>
        <v>276.3</v>
      </c>
      <c r="K9" s="25">
        <f t="shared" si="0"/>
        <v>28944.3</v>
      </c>
      <c r="L9" s="25">
        <f t="shared" si="0"/>
        <v>286.59999999999997</v>
      </c>
      <c r="M9" s="25">
        <f t="shared" si="0"/>
        <v>1069.1999999999998</v>
      </c>
      <c r="N9" s="25">
        <f t="shared" si="0"/>
        <v>329.59999999999997</v>
      </c>
      <c r="O9" s="25">
        <f t="shared" si="0"/>
        <v>226.3</v>
      </c>
      <c r="P9" s="25">
        <f t="shared" si="0"/>
        <v>333.70000000000005</v>
      </c>
      <c r="Q9" s="25">
        <f t="shared" si="0"/>
        <v>408.3</v>
      </c>
      <c r="R9" s="25">
        <f t="shared" si="0"/>
        <v>849.1</v>
      </c>
      <c r="S9" s="25">
        <f t="shared" si="0"/>
        <v>464.90000000000003</v>
      </c>
      <c r="T9" s="25">
        <f t="shared" si="0"/>
        <v>332.20000000000005</v>
      </c>
      <c r="U9" s="25">
        <f t="shared" si="0"/>
        <v>26887.800000000003</v>
      </c>
      <c r="V9" s="25">
        <f t="shared" si="0"/>
        <v>983.9000000000001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65168.90000000001</v>
      </c>
      <c r="AE9" s="51">
        <f>AE10+AE15+AE23+AE31+AE45+AE49+AE50+AE57+AE58+AE67+AE68+AE71+AE81+AE74+AE76+AE75+AE65+AE82+AE84+AE83+AE66+AE38+AE85</f>
        <v>21239.999999999993</v>
      </c>
      <c r="AG9" s="50"/>
    </row>
    <row r="10" spans="1:31" ht="15.75">
      <c r="A10" s="4" t="s">
        <v>4</v>
      </c>
      <c r="B10" s="23">
        <f>3673.8+47.2-281.8-28.3-39.5-200.6</f>
        <v>3170.7999999999997</v>
      </c>
      <c r="C10" s="23">
        <f>2039.2-306.6</f>
        <v>1732.6</v>
      </c>
      <c r="D10" s="23">
        <v>100</v>
      </c>
      <c r="E10" s="23">
        <v>87.3</v>
      </c>
      <c r="F10" s="23">
        <v>42</v>
      </c>
      <c r="G10" s="23">
        <v>50</v>
      </c>
      <c r="H10" s="23">
        <v>160.9</v>
      </c>
      <c r="I10" s="23">
        <v>137.2</v>
      </c>
      <c r="J10" s="26">
        <v>146.3</v>
      </c>
      <c r="K10" s="23">
        <v>1099.8</v>
      </c>
      <c r="L10" s="23"/>
      <c r="M10" s="23">
        <v>11</v>
      </c>
      <c r="N10" s="23">
        <v>34.3</v>
      </c>
      <c r="O10" s="28">
        <v>69.2</v>
      </c>
      <c r="P10" s="23">
        <v>4.9</v>
      </c>
      <c r="Q10" s="23">
        <v>19.2</v>
      </c>
      <c r="R10" s="23"/>
      <c r="S10" s="27">
        <v>12.9</v>
      </c>
      <c r="T10" s="27"/>
      <c r="U10" s="27">
        <v>1924.2</v>
      </c>
      <c r="V10" s="23">
        <v>24.6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3923.8</v>
      </c>
      <c r="AE10" s="28">
        <f>B10+C10-AD10</f>
        <v>979.5999999999995</v>
      </c>
    </row>
    <row r="11" spans="1:31" ht="15.75">
      <c r="A11" s="3" t="s">
        <v>5</v>
      </c>
      <c r="B11" s="23">
        <f>3321.5-28.1-113.9+5.2-26.4-109</f>
        <v>3049.2999999999997</v>
      </c>
      <c r="C11" s="23">
        <f>717.7-269</f>
        <v>448.70000000000005</v>
      </c>
      <c r="D11" s="23"/>
      <c r="E11" s="23">
        <v>83.7</v>
      </c>
      <c r="F11" s="23">
        <v>12.9</v>
      </c>
      <c r="G11" s="23"/>
      <c r="H11" s="23">
        <v>128.8</v>
      </c>
      <c r="I11" s="23"/>
      <c r="J11" s="27">
        <v>146</v>
      </c>
      <c r="K11" s="23">
        <v>1098.6</v>
      </c>
      <c r="L11" s="23"/>
      <c r="M11" s="23"/>
      <c r="N11" s="23"/>
      <c r="O11" s="28">
        <v>59.1</v>
      </c>
      <c r="P11" s="23"/>
      <c r="Q11" s="23">
        <v>0.2</v>
      </c>
      <c r="R11" s="23"/>
      <c r="S11" s="27"/>
      <c r="T11" s="27"/>
      <c r="U11" s="27">
        <v>1924.2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3453.5</v>
      </c>
      <c r="AE11" s="28">
        <f>B11+C11-AD11</f>
        <v>44.5</v>
      </c>
    </row>
    <row r="12" spans="1:31" ht="15.75">
      <c r="A12" s="3" t="s">
        <v>2</v>
      </c>
      <c r="B12" s="37">
        <f>48-15.9-13.1</f>
        <v>19</v>
      </c>
      <c r="C12" s="23">
        <f>223.4-33.5-42.3-34</f>
        <v>113.60000000000002</v>
      </c>
      <c r="D12" s="23"/>
      <c r="E12" s="23"/>
      <c r="F12" s="23">
        <v>7.8</v>
      </c>
      <c r="G12" s="23"/>
      <c r="H12" s="23"/>
      <c r="I12" s="23">
        <v>37.2</v>
      </c>
      <c r="J12" s="27"/>
      <c r="K12" s="23"/>
      <c r="L12" s="23"/>
      <c r="M12" s="23"/>
      <c r="N12" s="23"/>
      <c r="O12" s="28"/>
      <c r="P12" s="23"/>
      <c r="Q12" s="23">
        <v>1.9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46.9</v>
      </c>
      <c r="AE12" s="28">
        <f>B12+C12-AD12</f>
        <v>85.70000000000002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102.5</v>
      </c>
      <c r="C14" s="23">
        <f t="shared" si="2"/>
        <v>1170.2999999999997</v>
      </c>
      <c r="D14" s="23">
        <f t="shared" si="2"/>
        <v>100</v>
      </c>
      <c r="E14" s="23">
        <f t="shared" si="2"/>
        <v>3.5999999999999943</v>
      </c>
      <c r="F14" s="23">
        <f t="shared" si="2"/>
        <v>21.3</v>
      </c>
      <c r="G14" s="23">
        <f t="shared" si="2"/>
        <v>50</v>
      </c>
      <c r="H14" s="23">
        <f t="shared" si="2"/>
        <v>32.099999999999994</v>
      </c>
      <c r="I14" s="23">
        <f t="shared" si="2"/>
        <v>99.99999999999999</v>
      </c>
      <c r="J14" s="23">
        <f t="shared" si="2"/>
        <v>0.30000000000001137</v>
      </c>
      <c r="K14" s="23">
        <f t="shared" si="2"/>
        <v>1.2000000000000455</v>
      </c>
      <c r="L14" s="23">
        <f t="shared" si="2"/>
        <v>0</v>
      </c>
      <c r="M14" s="23">
        <f t="shared" si="2"/>
        <v>11</v>
      </c>
      <c r="N14" s="23">
        <f t="shared" si="2"/>
        <v>34.3</v>
      </c>
      <c r="O14" s="23">
        <f t="shared" si="2"/>
        <v>10.100000000000001</v>
      </c>
      <c r="P14" s="23">
        <f t="shared" si="2"/>
        <v>4.9</v>
      </c>
      <c r="Q14" s="23">
        <f t="shared" si="2"/>
        <v>17.1</v>
      </c>
      <c r="R14" s="23">
        <f t="shared" si="2"/>
        <v>0</v>
      </c>
      <c r="S14" s="23">
        <f t="shared" si="2"/>
        <v>12.9</v>
      </c>
      <c r="T14" s="23">
        <f t="shared" si="2"/>
        <v>0</v>
      </c>
      <c r="U14" s="23">
        <f t="shared" si="2"/>
        <v>0</v>
      </c>
      <c r="V14" s="23">
        <f t="shared" si="2"/>
        <v>24.6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423.40000000000003</v>
      </c>
      <c r="AE14" s="28">
        <f>AE10-AE11-AE12-AE13</f>
        <v>849.3999999999994</v>
      </c>
    </row>
    <row r="15" spans="1:31" ht="15" customHeight="1">
      <c r="A15" s="4" t="s">
        <v>6</v>
      </c>
      <c r="B15" s="23">
        <f>31622.6-243.1-6574.9+4000-0.1</f>
        <v>28804.5</v>
      </c>
      <c r="C15" s="23">
        <f>12055.5-4000</f>
        <v>8055.5</v>
      </c>
      <c r="D15" s="45">
        <v>390.4</v>
      </c>
      <c r="E15" s="45"/>
      <c r="F15" s="23">
        <v>35.1</v>
      </c>
      <c r="G15" s="23">
        <v>20</v>
      </c>
      <c r="H15" s="23">
        <v>174.3</v>
      </c>
      <c r="I15" s="23">
        <v>169.8</v>
      </c>
      <c r="J15" s="27"/>
      <c r="K15" s="23">
        <v>18386</v>
      </c>
      <c r="L15" s="23">
        <v>90.5</v>
      </c>
      <c r="M15" s="23">
        <v>436.9</v>
      </c>
      <c r="N15" s="23">
        <v>154.7</v>
      </c>
      <c r="O15" s="28">
        <v>0.4</v>
      </c>
      <c r="P15" s="23"/>
      <c r="Q15" s="28"/>
      <c r="R15" s="23">
        <v>499.1</v>
      </c>
      <c r="S15" s="27">
        <v>151.8</v>
      </c>
      <c r="T15" s="27">
        <v>157.9</v>
      </c>
      <c r="U15" s="27">
        <v>12045.9</v>
      </c>
      <c r="V15" s="23">
        <v>471.6</v>
      </c>
      <c r="W15" s="27"/>
      <c r="X15" s="27"/>
      <c r="Y15" s="27"/>
      <c r="Z15" s="23"/>
      <c r="AA15" s="23"/>
      <c r="AB15" s="23"/>
      <c r="AC15" s="23"/>
      <c r="AD15" s="28">
        <f t="shared" si="1"/>
        <v>33184.4</v>
      </c>
      <c r="AE15" s="28">
        <f aca="true" t="shared" si="3" ref="AE15:AE29">B15+C15-AD15</f>
        <v>3675.5999999999985</v>
      </c>
    </row>
    <row r="16" spans="1:32" ht="15.75">
      <c r="A16" s="3" t="s">
        <v>5</v>
      </c>
      <c r="B16" s="23">
        <f>30001.9+5.9-2670.9-0.1</f>
        <v>27336.800000000003</v>
      </c>
      <c r="C16" s="23">
        <v>3584.1</v>
      </c>
      <c r="D16" s="23"/>
      <c r="E16" s="23"/>
      <c r="F16" s="23"/>
      <c r="G16" s="23"/>
      <c r="H16" s="23"/>
      <c r="I16" s="23"/>
      <c r="J16" s="27"/>
      <c r="K16" s="23">
        <v>18386</v>
      </c>
      <c r="L16" s="23"/>
      <c r="M16" s="23"/>
      <c r="N16" s="23"/>
      <c r="O16" s="28"/>
      <c r="P16" s="23"/>
      <c r="Q16" s="28"/>
      <c r="R16" s="23">
        <v>499.1</v>
      </c>
      <c r="S16" s="27">
        <v>151.8</v>
      </c>
      <c r="T16" s="27">
        <v>157.9</v>
      </c>
      <c r="U16" s="27">
        <v>11710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30904.8</v>
      </c>
      <c r="AE16" s="28">
        <f t="shared" si="3"/>
        <v>16.100000000002183</v>
      </c>
      <c r="AF16" s="6"/>
    </row>
    <row r="17" spans="1:31" ht="15.75">
      <c r="A17" s="3" t="s">
        <v>3</v>
      </c>
      <c r="B17" s="23">
        <v>0</v>
      </c>
      <c r="C17" s="23">
        <f>13.8-0.5-8.7</f>
        <v>4.600000000000001</v>
      </c>
      <c r="D17" s="23"/>
      <c r="E17" s="23"/>
      <c r="F17" s="23">
        <v>0.4</v>
      </c>
      <c r="G17" s="23"/>
      <c r="H17" s="23"/>
      <c r="I17" s="23"/>
      <c r="J17" s="27"/>
      <c r="K17" s="23"/>
      <c r="L17" s="23"/>
      <c r="M17" s="23">
        <v>0.5</v>
      </c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0.9</v>
      </c>
      <c r="AE17" s="28">
        <f t="shared" si="3"/>
        <v>3.7000000000000015</v>
      </c>
    </row>
    <row r="18" spans="1:31" ht="15.75">
      <c r="A18" s="3" t="s">
        <v>1</v>
      </c>
      <c r="B18" s="23">
        <f>871.3+132.9-58.8-47.1</f>
        <v>898.3</v>
      </c>
      <c r="C18" s="23">
        <v>459.2</v>
      </c>
      <c r="D18" s="23">
        <v>103.6</v>
      </c>
      <c r="E18" s="23"/>
      <c r="F18" s="23"/>
      <c r="G18" s="23"/>
      <c r="H18" s="23">
        <v>174.3</v>
      </c>
      <c r="I18" s="23"/>
      <c r="J18" s="27"/>
      <c r="K18" s="23"/>
      <c r="L18" s="23">
        <v>89.1</v>
      </c>
      <c r="M18" s="23">
        <v>426.5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793.5</v>
      </c>
      <c r="AE18" s="28">
        <f t="shared" si="3"/>
        <v>564</v>
      </c>
    </row>
    <row r="19" spans="1:31" ht="15.75">
      <c r="A19" s="3" t="s">
        <v>2</v>
      </c>
      <c r="B19" s="23">
        <f>574.1-10-132.9-189.7</f>
        <v>241.50000000000006</v>
      </c>
      <c r="C19" s="23">
        <f>7469.7-3848.2</f>
        <v>3621.5</v>
      </c>
      <c r="D19" s="23">
        <v>286.8</v>
      </c>
      <c r="E19" s="23"/>
      <c r="F19" s="23">
        <v>29.7</v>
      </c>
      <c r="G19" s="23"/>
      <c r="H19" s="23"/>
      <c r="I19" s="23">
        <v>169.8</v>
      </c>
      <c r="J19" s="27"/>
      <c r="K19" s="23"/>
      <c r="L19" s="23"/>
      <c r="M19" s="23"/>
      <c r="N19" s="23">
        <v>150</v>
      </c>
      <c r="O19" s="28"/>
      <c r="P19" s="23"/>
      <c r="Q19" s="28"/>
      <c r="R19" s="23"/>
      <c r="S19" s="27"/>
      <c r="T19" s="27"/>
      <c r="U19" s="27">
        <v>335.9</v>
      </c>
      <c r="V19" s="23">
        <v>471.6</v>
      </c>
      <c r="W19" s="27"/>
      <c r="X19" s="27"/>
      <c r="Y19" s="27"/>
      <c r="Z19" s="23"/>
      <c r="AA19" s="23"/>
      <c r="AB19" s="23"/>
      <c r="AC19" s="23"/>
      <c r="AD19" s="28">
        <f t="shared" si="1"/>
        <v>1443.8</v>
      </c>
      <c r="AE19" s="28">
        <f t="shared" si="3"/>
        <v>2419.2</v>
      </c>
    </row>
    <row r="20" spans="1:31" ht="15.75">
      <c r="A20" s="3" t="s">
        <v>17</v>
      </c>
      <c r="B20" s="23">
        <f>44.2-5.5+2.6-10.6</f>
        <v>30.700000000000003</v>
      </c>
      <c r="C20" s="23">
        <v>32.9</v>
      </c>
      <c r="D20" s="23"/>
      <c r="E20" s="23"/>
      <c r="F20" s="23">
        <v>4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59.6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297.1999999999971</v>
      </c>
      <c r="C22" s="23">
        <f t="shared" si="4"/>
        <v>353.1999999999995</v>
      </c>
      <c r="D22" s="23">
        <f t="shared" si="4"/>
        <v>-5.684341886080802E-14</v>
      </c>
      <c r="E22" s="23">
        <f t="shared" si="4"/>
        <v>0</v>
      </c>
      <c r="F22" s="23">
        <f t="shared" si="4"/>
        <v>1.0000000000000036</v>
      </c>
      <c r="G22" s="23">
        <f t="shared" si="4"/>
        <v>20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1.4000000000000057</v>
      </c>
      <c r="M22" s="23">
        <f t="shared" si="4"/>
        <v>9.899999999999977</v>
      </c>
      <c r="N22" s="23">
        <f t="shared" si="4"/>
        <v>4.699999999999989</v>
      </c>
      <c r="O22" s="23">
        <f t="shared" si="4"/>
        <v>0.4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-3.410605131648481E-13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37.39999999999957</v>
      </c>
      <c r="AE22" s="28">
        <f t="shared" si="3"/>
        <v>612.999999999997</v>
      </c>
    </row>
    <row r="23" spans="1:31" ht="15" customHeight="1">
      <c r="A23" s="4" t="s">
        <v>7</v>
      </c>
      <c r="B23" s="23">
        <f>17212.1-4054.7+1000</f>
        <v>14157.399999999998</v>
      </c>
      <c r="C23" s="23">
        <f>7358.7-1000</f>
        <v>6358.7</v>
      </c>
      <c r="D23" s="23">
        <v>13.4</v>
      </c>
      <c r="E23" s="23"/>
      <c r="F23" s="23">
        <v>118.3</v>
      </c>
      <c r="G23" s="23">
        <v>100</v>
      </c>
      <c r="H23" s="23">
        <v>171.7</v>
      </c>
      <c r="I23" s="23">
        <v>237</v>
      </c>
      <c r="J23" s="27"/>
      <c r="K23" s="23">
        <v>5811.7</v>
      </c>
      <c r="L23" s="23">
        <v>67.1</v>
      </c>
      <c r="M23" s="23">
        <v>104.6</v>
      </c>
      <c r="N23" s="23">
        <v>110.3</v>
      </c>
      <c r="O23" s="28">
        <v>48</v>
      </c>
      <c r="P23" s="23"/>
      <c r="Q23" s="28">
        <v>66.7</v>
      </c>
      <c r="R23" s="28"/>
      <c r="S23" s="27"/>
      <c r="T23" s="27">
        <v>20.5</v>
      </c>
      <c r="U23" s="27">
        <v>9482.1</v>
      </c>
      <c r="V23" s="23">
        <v>286.2</v>
      </c>
      <c r="W23" s="27"/>
      <c r="X23" s="27"/>
      <c r="Y23" s="27"/>
      <c r="Z23" s="23"/>
      <c r="AA23" s="23"/>
      <c r="AB23" s="23"/>
      <c r="AC23" s="23"/>
      <c r="AD23" s="28">
        <f t="shared" si="1"/>
        <v>16637.600000000002</v>
      </c>
      <c r="AE23" s="28">
        <f t="shared" si="3"/>
        <v>3878.4999999999964</v>
      </c>
    </row>
    <row r="24" spans="1:32" ht="15.75">
      <c r="A24" s="3" t="s">
        <v>5</v>
      </c>
      <c r="B24" s="23">
        <f>14500-1670.6+0.1</f>
        <v>12829.5</v>
      </c>
      <c r="C24" s="23">
        <v>1706.8</v>
      </c>
      <c r="D24" s="23"/>
      <c r="E24" s="23"/>
      <c r="F24" s="23"/>
      <c r="G24" s="23"/>
      <c r="H24" s="23"/>
      <c r="I24" s="23"/>
      <c r="J24" s="27"/>
      <c r="K24" s="23">
        <v>5594.2</v>
      </c>
      <c r="L24" s="23"/>
      <c r="M24" s="23"/>
      <c r="N24" s="23"/>
      <c r="O24" s="28"/>
      <c r="P24" s="23"/>
      <c r="Q24" s="28"/>
      <c r="R24" s="23"/>
      <c r="S24" s="27"/>
      <c r="T24" s="27">
        <v>20.5</v>
      </c>
      <c r="U24" s="27">
        <v>8919.7</v>
      </c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14534.400000000001</v>
      </c>
      <c r="AE24" s="28">
        <f t="shared" si="3"/>
        <v>1.8999999999978172</v>
      </c>
      <c r="AF24" s="6"/>
    </row>
    <row r="25" spans="1:31" ht="15.75">
      <c r="A25" s="3" t="s">
        <v>3</v>
      </c>
      <c r="B25" s="23">
        <f>635.9-250.3+0.1</f>
        <v>385.7</v>
      </c>
      <c r="C25" s="23">
        <f>1652.9-1600</f>
        <v>52.90000000000009</v>
      </c>
      <c r="D25" s="23"/>
      <c r="E25" s="23"/>
      <c r="F25" s="23">
        <v>92.1</v>
      </c>
      <c r="G25" s="23"/>
      <c r="H25" s="23"/>
      <c r="I25" s="23"/>
      <c r="J25" s="27"/>
      <c r="K25" s="23"/>
      <c r="L25" s="23">
        <v>24.2</v>
      </c>
      <c r="M25" s="23">
        <v>50.1</v>
      </c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166.4</v>
      </c>
      <c r="AE25" s="28">
        <f t="shared" si="3"/>
        <v>272.20000000000005</v>
      </c>
    </row>
    <row r="26" spans="1:31" ht="15.75">
      <c r="A26" s="3" t="s">
        <v>1</v>
      </c>
      <c r="B26" s="23">
        <f>219.9-16.1</f>
        <v>203.8</v>
      </c>
      <c r="C26" s="23">
        <v>43.1</v>
      </c>
      <c r="D26" s="23">
        <v>13.4</v>
      </c>
      <c r="E26" s="23"/>
      <c r="F26" s="23"/>
      <c r="G26" s="23"/>
      <c r="H26" s="23"/>
      <c r="I26" s="23"/>
      <c r="J26" s="27"/>
      <c r="K26" s="23"/>
      <c r="L26" s="23">
        <v>33.2</v>
      </c>
      <c r="M26" s="23">
        <v>48.5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95.1</v>
      </c>
      <c r="AE26" s="28">
        <f t="shared" si="3"/>
        <v>151.8</v>
      </c>
    </row>
    <row r="27" spans="1:31" ht="15.75">
      <c r="A27" s="3" t="s">
        <v>2</v>
      </c>
      <c r="B27" s="23">
        <f>785-517.7+0.1</f>
        <v>267.4</v>
      </c>
      <c r="C27" s="23">
        <v>1971.5</v>
      </c>
      <c r="D27" s="23"/>
      <c r="E27" s="23"/>
      <c r="F27" s="23"/>
      <c r="G27" s="23"/>
      <c r="H27" s="23"/>
      <c r="I27" s="23">
        <v>110</v>
      </c>
      <c r="J27" s="27"/>
      <c r="K27" s="23"/>
      <c r="L27" s="23"/>
      <c r="M27" s="23"/>
      <c r="N27" s="23">
        <v>110.3</v>
      </c>
      <c r="O27" s="28"/>
      <c r="P27" s="23"/>
      <c r="Q27" s="28">
        <v>66.7</v>
      </c>
      <c r="R27" s="23"/>
      <c r="S27" s="27"/>
      <c r="T27" s="27"/>
      <c r="U27" s="27">
        <v>175</v>
      </c>
      <c r="V27" s="23">
        <v>286.2</v>
      </c>
      <c r="W27" s="27"/>
      <c r="X27" s="27"/>
      <c r="Y27" s="27"/>
      <c r="Z27" s="23"/>
      <c r="AA27" s="23"/>
      <c r="AB27" s="23"/>
      <c r="AC27" s="23"/>
      <c r="AD27" s="28">
        <f t="shared" si="1"/>
        <v>748.2</v>
      </c>
      <c r="AE27" s="28">
        <f t="shared" si="3"/>
        <v>1490.7</v>
      </c>
    </row>
    <row r="28" spans="1:31" ht="15.75">
      <c r="A28" s="3" t="s">
        <v>17</v>
      </c>
      <c r="B28" s="23">
        <v>116.2</v>
      </c>
      <c r="C28" s="23">
        <v>17</v>
      </c>
      <c r="D28" s="23"/>
      <c r="E28" s="23"/>
      <c r="F28" s="23"/>
      <c r="G28" s="23"/>
      <c r="H28" s="23"/>
      <c r="I28" s="23">
        <v>52.2</v>
      </c>
      <c r="J28" s="27"/>
      <c r="K28" s="23"/>
      <c r="L28" s="23">
        <v>1.2</v>
      </c>
      <c r="M28" s="23"/>
      <c r="N28" s="23"/>
      <c r="O28" s="28">
        <v>36.9</v>
      </c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90.30000000000001</v>
      </c>
      <c r="AE28" s="28">
        <f t="shared" si="3"/>
        <v>42.89999999999998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354.79999999999785</v>
      </c>
      <c r="C30" s="23">
        <f t="shared" si="5"/>
        <v>2567.3999999999996</v>
      </c>
      <c r="D30" s="23">
        <f t="shared" si="5"/>
        <v>0</v>
      </c>
      <c r="E30" s="23">
        <f t="shared" si="5"/>
        <v>0</v>
      </c>
      <c r="F30" s="23">
        <f t="shared" si="5"/>
        <v>26.200000000000003</v>
      </c>
      <c r="G30" s="23">
        <f t="shared" si="5"/>
        <v>100</v>
      </c>
      <c r="H30" s="23">
        <f t="shared" si="5"/>
        <v>171.7</v>
      </c>
      <c r="I30" s="23">
        <f t="shared" si="5"/>
        <v>74.8</v>
      </c>
      <c r="J30" s="23">
        <f t="shared" si="5"/>
        <v>0</v>
      </c>
      <c r="K30" s="23">
        <f t="shared" si="5"/>
        <v>217.5</v>
      </c>
      <c r="L30" s="23">
        <f t="shared" si="5"/>
        <v>8.49999999999999</v>
      </c>
      <c r="M30" s="23">
        <f t="shared" si="5"/>
        <v>5.999999999999993</v>
      </c>
      <c r="N30" s="23">
        <f t="shared" si="5"/>
        <v>0</v>
      </c>
      <c r="O30" s="28">
        <f t="shared" si="5"/>
        <v>11.100000000000001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387.39999999999964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1003.1999999999997</v>
      </c>
      <c r="AE30" s="28">
        <f>AE23-AE24-AE25-AE26-AE27-AE28-AE29</f>
        <v>1918.9999999999986</v>
      </c>
    </row>
    <row r="31" spans="1:31" ht="15" customHeight="1">
      <c r="A31" s="4" t="s">
        <v>8</v>
      </c>
      <c r="B31" s="23">
        <f>374.1+70+35+2.7-357.4+340</f>
        <v>464.40000000000003</v>
      </c>
      <c r="C31" s="23">
        <f>496.7-35-340</f>
        <v>121.69999999999999</v>
      </c>
      <c r="D31" s="23"/>
      <c r="E31" s="23">
        <v>112.6</v>
      </c>
      <c r="F31" s="23">
        <v>7.7</v>
      </c>
      <c r="G31" s="23"/>
      <c r="H31" s="23"/>
      <c r="I31" s="23">
        <v>3.6</v>
      </c>
      <c r="J31" s="27">
        <v>49.7</v>
      </c>
      <c r="K31" s="23"/>
      <c r="L31" s="23"/>
      <c r="M31" s="23"/>
      <c r="N31" s="23">
        <v>2.7</v>
      </c>
      <c r="O31" s="28"/>
      <c r="P31" s="23"/>
      <c r="Q31" s="28"/>
      <c r="R31" s="23"/>
      <c r="S31" s="27">
        <v>83</v>
      </c>
      <c r="T31" s="27"/>
      <c r="U31" s="27">
        <v>1.2</v>
      </c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260.49999999999994</v>
      </c>
      <c r="AE31" s="28">
        <f aca="true" t="shared" si="6" ref="AE31:AE36">B31+C31-AD31</f>
        <v>325.6000000000001</v>
      </c>
    </row>
    <row r="32" spans="1:31" ht="15.75">
      <c r="A32" s="3" t="s">
        <v>5</v>
      </c>
      <c r="B32" s="23">
        <f>138+102.1-35.7</f>
        <v>204.39999999999998</v>
      </c>
      <c r="C32" s="23">
        <v>40.9</v>
      </c>
      <c r="D32" s="23"/>
      <c r="E32" s="23">
        <v>112.6</v>
      </c>
      <c r="F32" s="23"/>
      <c r="G32" s="23"/>
      <c r="H32" s="23"/>
      <c r="I32" s="23"/>
      <c r="J32" s="27">
        <v>49.7</v>
      </c>
      <c r="K32" s="23"/>
      <c r="L32" s="23"/>
      <c r="M32" s="23"/>
      <c r="N32" s="23"/>
      <c r="O32" s="23"/>
      <c r="P32" s="23"/>
      <c r="Q32" s="28"/>
      <c r="R32" s="23"/>
      <c r="S32" s="27">
        <v>83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245.3</v>
      </c>
      <c r="AE32" s="28">
        <f t="shared" si="6"/>
        <v>0</v>
      </c>
    </row>
    <row r="33" spans="1:31" ht="15.75">
      <c r="A33" s="3" t="s">
        <v>1</v>
      </c>
      <c r="B33" s="23">
        <f>63+19</f>
        <v>82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82</v>
      </c>
    </row>
    <row r="34" spans="1:31" ht="15.75">
      <c r="A34" s="3" t="s">
        <v>2</v>
      </c>
      <c r="B34" s="45">
        <v>2.3</v>
      </c>
      <c r="C34" s="23">
        <f>40.1-32.1-5.5</f>
        <v>2.5</v>
      </c>
      <c r="D34" s="23"/>
      <c r="E34" s="23"/>
      <c r="F34" s="23"/>
      <c r="G34" s="23"/>
      <c r="H34" s="23"/>
      <c r="I34" s="23">
        <v>1.8</v>
      </c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1.8</v>
      </c>
      <c r="AE34" s="28">
        <f t="shared" si="6"/>
        <v>3</v>
      </c>
    </row>
    <row r="35" spans="1:31" ht="15.75">
      <c r="A35" s="3" t="s">
        <v>17</v>
      </c>
      <c r="B35" s="23">
        <v>167.8</v>
      </c>
      <c r="C35" s="23">
        <f>405.5-335.3</f>
        <v>70.19999999999999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238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7.900000000000034</v>
      </c>
      <c r="C37" s="23">
        <f t="shared" si="7"/>
        <v>8.099999999999994</v>
      </c>
      <c r="D37" s="23">
        <f t="shared" si="7"/>
        <v>0</v>
      </c>
      <c r="E37" s="23">
        <f t="shared" si="7"/>
        <v>0</v>
      </c>
      <c r="F37" s="23">
        <f t="shared" si="7"/>
        <v>7.7</v>
      </c>
      <c r="G37" s="23">
        <f t="shared" si="7"/>
        <v>0</v>
      </c>
      <c r="H37" s="23">
        <f t="shared" si="7"/>
        <v>0</v>
      </c>
      <c r="I37" s="23">
        <f t="shared" si="7"/>
        <v>1.8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2.7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1.2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13.399999999999999</v>
      </c>
      <c r="AE37" s="28">
        <f>AE31-AE32-AE34-AE36-AE33-AE35</f>
        <v>2.6000000000000796</v>
      </c>
    </row>
    <row r="38" spans="1:31" ht="15" customHeight="1">
      <c r="A38" s="4" t="s">
        <v>35</v>
      </c>
      <c r="B38" s="23">
        <f>498.3-59.9+100+0.2</f>
        <v>538.6000000000001</v>
      </c>
      <c r="C38" s="23">
        <f>196.5-100</f>
        <v>96.5</v>
      </c>
      <c r="D38" s="23">
        <v>35.6</v>
      </c>
      <c r="E38" s="23"/>
      <c r="F38" s="23">
        <v>4.4</v>
      </c>
      <c r="G38" s="23"/>
      <c r="H38" s="23">
        <v>8.2</v>
      </c>
      <c r="I38" s="23">
        <v>8.5</v>
      </c>
      <c r="J38" s="27"/>
      <c r="K38" s="23">
        <v>228.9</v>
      </c>
      <c r="L38" s="23">
        <v>3.5</v>
      </c>
      <c r="M38" s="23"/>
      <c r="N38" s="23"/>
      <c r="O38" s="28"/>
      <c r="P38" s="23"/>
      <c r="Q38" s="28"/>
      <c r="R38" s="28"/>
      <c r="S38" s="27"/>
      <c r="T38" s="27"/>
      <c r="U38" s="27">
        <v>278.7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567.8</v>
      </c>
      <c r="AE38" s="28">
        <f aca="true" t="shared" si="8" ref="AE38:AE43">B38+C38-AD38</f>
        <v>67.30000000000018</v>
      </c>
    </row>
    <row r="39" spans="1:32" ht="15.75">
      <c r="A39" s="3" t="s">
        <v>5</v>
      </c>
      <c r="B39" s="23">
        <f>469.6+7.4+0.2</f>
        <v>477.2</v>
      </c>
      <c r="C39" s="23">
        <v>33.2</v>
      </c>
      <c r="D39" s="23"/>
      <c r="E39" s="23"/>
      <c r="F39" s="23"/>
      <c r="G39" s="23"/>
      <c r="H39" s="23">
        <v>8.2</v>
      </c>
      <c r="I39" s="23"/>
      <c r="J39" s="27"/>
      <c r="K39" s="23">
        <v>228.5</v>
      </c>
      <c r="L39" s="23"/>
      <c r="M39" s="23"/>
      <c r="N39" s="23"/>
      <c r="O39" s="28"/>
      <c r="P39" s="23"/>
      <c r="Q39" s="28"/>
      <c r="R39" s="23"/>
      <c r="S39" s="27"/>
      <c r="T39" s="27"/>
      <c r="U39" s="27">
        <v>273.7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510.4</v>
      </c>
      <c r="AE39" s="28">
        <f t="shared" si="8"/>
        <v>0</v>
      </c>
      <c r="AF39" s="6"/>
    </row>
    <row r="40" spans="1:31" ht="15.75">
      <c r="A40" s="3" t="s">
        <v>3</v>
      </c>
      <c r="B40" s="23">
        <v>0.2</v>
      </c>
      <c r="C40" s="23">
        <f>0.6-0.5</f>
        <v>0.09999999999999998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0.3</v>
      </c>
    </row>
    <row r="41" spans="1:31" ht="15.75">
      <c r="A41" s="3" t="s">
        <v>1</v>
      </c>
      <c r="B41" s="23">
        <f>3.8-0.9</f>
        <v>2.9</v>
      </c>
      <c r="C41" s="23">
        <v>0.6</v>
      </c>
      <c r="D41" s="23"/>
      <c r="E41" s="23"/>
      <c r="F41" s="23"/>
      <c r="G41" s="23"/>
      <c r="H41" s="23"/>
      <c r="I41" s="23"/>
      <c r="J41" s="27"/>
      <c r="K41" s="23"/>
      <c r="L41" s="23">
        <v>3.5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3.5</v>
      </c>
      <c r="AE41" s="28">
        <f t="shared" si="8"/>
        <v>0</v>
      </c>
    </row>
    <row r="42" spans="1:31" ht="15.75">
      <c r="A42" s="3" t="s">
        <v>2</v>
      </c>
      <c r="B42" s="23">
        <v>2.4</v>
      </c>
      <c r="C42" s="23">
        <f>71.7-65.9</f>
        <v>5.799999999999997</v>
      </c>
      <c r="D42" s="23"/>
      <c r="E42" s="23"/>
      <c r="F42" s="23">
        <v>4.4</v>
      </c>
      <c r="G42" s="23"/>
      <c r="H42" s="23"/>
      <c r="I42" s="23"/>
      <c r="J42" s="27"/>
      <c r="K42" s="23">
        <v>0.4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4.800000000000001</v>
      </c>
      <c r="AE42" s="28">
        <f t="shared" si="8"/>
        <v>3.399999999999997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55.90000000000015</v>
      </c>
      <c r="C44" s="23">
        <f t="shared" si="9"/>
        <v>56.8</v>
      </c>
      <c r="D44" s="23">
        <f t="shared" si="9"/>
        <v>35.6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8.5</v>
      </c>
      <c r="J44" s="23">
        <f t="shared" si="9"/>
        <v>0</v>
      </c>
      <c r="K44" s="23">
        <f t="shared" si="9"/>
        <v>5.662137425588298E-15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49.10000000000001</v>
      </c>
      <c r="AE44" s="28">
        <f>AE38-AE39-AE40-AE41-AE42-AE43</f>
        <v>63.600000000000186</v>
      </c>
    </row>
    <row r="45" spans="1:31" ht="15" customHeight="1">
      <c r="A45" s="4" t="s">
        <v>15</v>
      </c>
      <c r="B45" s="37">
        <v>653.1</v>
      </c>
      <c r="C45" s="23">
        <v>353.8</v>
      </c>
      <c r="D45" s="23"/>
      <c r="E45" s="29"/>
      <c r="F45" s="29">
        <v>89.4</v>
      </c>
      <c r="G45" s="29">
        <v>83.4</v>
      </c>
      <c r="H45" s="29"/>
      <c r="I45" s="29">
        <v>25.6</v>
      </c>
      <c r="J45" s="30"/>
      <c r="K45" s="29"/>
      <c r="L45" s="29">
        <v>9.6</v>
      </c>
      <c r="M45" s="29">
        <v>151.6</v>
      </c>
      <c r="N45" s="29">
        <v>27.2</v>
      </c>
      <c r="O45" s="32"/>
      <c r="P45" s="29">
        <v>186.9</v>
      </c>
      <c r="Q45" s="29">
        <v>4.9</v>
      </c>
      <c r="R45" s="29"/>
      <c r="S45" s="30"/>
      <c r="T45" s="30"/>
      <c r="U45" s="29">
        <v>4</v>
      </c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582.6</v>
      </c>
      <c r="AE45" s="28">
        <f>B45+C45-AD45</f>
        <v>424.30000000000007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610.3+39.1</f>
        <v>649.4</v>
      </c>
      <c r="C47" s="23">
        <v>277.8</v>
      </c>
      <c r="D47" s="23"/>
      <c r="E47" s="23"/>
      <c r="F47" s="23">
        <v>88.5</v>
      </c>
      <c r="G47" s="23">
        <v>83.4</v>
      </c>
      <c r="H47" s="23"/>
      <c r="I47" s="23">
        <v>12.5</v>
      </c>
      <c r="J47" s="27"/>
      <c r="K47" s="23"/>
      <c r="L47" s="23">
        <v>9.5</v>
      </c>
      <c r="M47" s="23">
        <v>150.1</v>
      </c>
      <c r="N47" s="23">
        <v>22.5</v>
      </c>
      <c r="O47" s="28"/>
      <c r="P47" s="23">
        <v>186.2</v>
      </c>
      <c r="Q47" s="23">
        <v>4.9</v>
      </c>
      <c r="R47" s="23"/>
      <c r="S47" s="27"/>
      <c r="T47" s="27"/>
      <c r="U47" s="23">
        <v>4</v>
      </c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561.6</v>
      </c>
      <c r="AE47" s="28">
        <f>B47+C47-AD47</f>
        <v>365.6</v>
      </c>
    </row>
    <row r="48" spans="1:31" ht="15.75">
      <c r="A48" s="3" t="s">
        <v>26</v>
      </c>
      <c r="B48" s="23">
        <f aca="true" t="shared" si="10" ref="B48:AB48">B45-B46-B47</f>
        <v>3.7000000000000455</v>
      </c>
      <c r="C48" s="23">
        <f t="shared" si="10"/>
        <v>76</v>
      </c>
      <c r="D48" s="23">
        <f t="shared" si="10"/>
        <v>0</v>
      </c>
      <c r="E48" s="23">
        <f t="shared" si="10"/>
        <v>0</v>
      </c>
      <c r="F48" s="23">
        <f t="shared" si="10"/>
        <v>0.9000000000000057</v>
      </c>
      <c r="G48" s="23">
        <f t="shared" si="10"/>
        <v>0</v>
      </c>
      <c r="H48" s="23">
        <f t="shared" si="10"/>
        <v>0</v>
      </c>
      <c r="I48" s="23">
        <f t="shared" si="10"/>
        <v>13.100000000000001</v>
      </c>
      <c r="J48" s="23">
        <f t="shared" si="10"/>
        <v>0</v>
      </c>
      <c r="K48" s="23">
        <f t="shared" si="10"/>
        <v>0</v>
      </c>
      <c r="L48" s="23">
        <f t="shared" si="10"/>
        <v>0.09999999999999964</v>
      </c>
      <c r="M48" s="23">
        <f t="shared" si="10"/>
        <v>1.5</v>
      </c>
      <c r="N48" s="23">
        <f t="shared" si="10"/>
        <v>4.699999999999999</v>
      </c>
      <c r="O48" s="23">
        <f t="shared" si="10"/>
        <v>0</v>
      </c>
      <c r="P48" s="23">
        <f t="shared" si="10"/>
        <v>0.700000000000017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21.00000000000002</v>
      </c>
      <c r="AE48" s="28">
        <f>AE45-AE47-AE46</f>
        <v>58.700000000000045</v>
      </c>
    </row>
    <row r="49" spans="1:31" ht="15" customHeight="1">
      <c r="A49" s="4" t="s">
        <v>0</v>
      </c>
      <c r="B49" s="23">
        <f>3316.9-398+0.1</f>
        <v>2919</v>
      </c>
      <c r="C49" s="23">
        <v>6487.3</v>
      </c>
      <c r="D49" s="23">
        <v>200</v>
      </c>
      <c r="E49" s="23"/>
      <c r="F49" s="23">
        <v>200</v>
      </c>
      <c r="G49" s="23"/>
      <c r="H49" s="23"/>
      <c r="I49" s="23">
        <v>449.8</v>
      </c>
      <c r="J49" s="27"/>
      <c r="K49" s="23"/>
      <c r="L49" s="23"/>
      <c r="M49" s="23">
        <v>122.1</v>
      </c>
      <c r="N49" s="23"/>
      <c r="O49" s="28">
        <v>101.5</v>
      </c>
      <c r="P49" s="23">
        <v>141.9</v>
      </c>
      <c r="Q49" s="23"/>
      <c r="R49" s="23">
        <v>350</v>
      </c>
      <c r="S49" s="27">
        <v>100</v>
      </c>
      <c r="T49" s="27">
        <v>98.7</v>
      </c>
      <c r="U49" s="27">
        <v>150</v>
      </c>
      <c r="V49" s="23">
        <v>200</v>
      </c>
      <c r="W49" s="27"/>
      <c r="X49" s="27"/>
      <c r="Y49" s="27"/>
      <c r="Z49" s="23"/>
      <c r="AA49" s="23"/>
      <c r="AB49" s="23"/>
      <c r="AC49" s="23"/>
      <c r="AD49" s="28">
        <f t="shared" si="1"/>
        <v>2114</v>
      </c>
      <c r="AE49" s="28">
        <f aca="true" t="shared" si="11" ref="AE49:AE55">B49+C49-AD49</f>
        <v>7292.299999999999</v>
      </c>
    </row>
    <row r="50" spans="1:32" ht="15" customHeight="1">
      <c r="A50" s="4" t="s">
        <v>9</v>
      </c>
      <c r="B50" s="45">
        <f>6308.9-19.5-593.5-0.1</f>
        <v>5695.799999999999</v>
      </c>
      <c r="C50" s="23">
        <v>1368.9</v>
      </c>
      <c r="D50" s="23"/>
      <c r="E50" s="23">
        <v>61.6</v>
      </c>
      <c r="F50" s="23">
        <v>160.4</v>
      </c>
      <c r="G50" s="23">
        <v>85.3</v>
      </c>
      <c r="H50" s="23"/>
      <c r="I50" s="23">
        <v>5.4</v>
      </c>
      <c r="J50" s="27">
        <v>4.1</v>
      </c>
      <c r="K50" s="23">
        <v>3118.3</v>
      </c>
      <c r="L50" s="23">
        <v>111.6</v>
      </c>
      <c r="M50" s="23">
        <v>66.8</v>
      </c>
      <c r="N50" s="23"/>
      <c r="O50" s="28">
        <v>4.1</v>
      </c>
      <c r="P50" s="23"/>
      <c r="Q50" s="28">
        <v>55.7</v>
      </c>
      <c r="R50" s="23"/>
      <c r="S50" s="27">
        <v>5.3</v>
      </c>
      <c r="T50" s="27">
        <v>55.1</v>
      </c>
      <c r="U50" s="27">
        <v>2433.5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6167.200000000001</v>
      </c>
      <c r="AE50" s="23">
        <f t="shared" si="11"/>
        <v>897.4999999999982</v>
      </c>
      <c r="AF50" s="6"/>
    </row>
    <row r="51" spans="1:32" ht="15.75">
      <c r="A51" s="3" t="s">
        <v>5</v>
      </c>
      <c r="B51" s="23">
        <f>5800.8+2.9-395.3</f>
        <v>5408.4</v>
      </c>
      <c r="C51" s="23">
        <v>215.7</v>
      </c>
      <c r="D51" s="23"/>
      <c r="E51" s="23"/>
      <c r="F51" s="23">
        <v>13.4</v>
      </c>
      <c r="G51" s="23"/>
      <c r="H51" s="23"/>
      <c r="I51" s="23"/>
      <c r="J51" s="27">
        <v>4.1</v>
      </c>
      <c r="K51" s="23">
        <v>3118.3</v>
      </c>
      <c r="L51" s="23"/>
      <c r="M51" s="23"/>
      <c r="N51" s="23"/>
      <c r="O51" s="28"/>
      <c r="P51" s="23"/>
      <c r="Q51" s="28"/>
      <c r="R51" s="23"/>
      <c r="S51" s="27"/>
      <c r="T51" s="27">
        <v>55.1</v>
      </c>
      <c r="U51" s="27">
        <v>2433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5623.9</v>
      </c>
      <c r="AE51" s="23">
        <f t="shared" si="11"/>
        <v>0.1999999999998181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16.3-2.9</f>
        <v>13.4</v>
      </c>
      <c r="C53" s="23">
        <f>315.2-111.6-198.1</f>
        <v>5.5</v>
      </c>
      <c r="D53" s="23"/>
      <c r="E53" s="23"/>
      <c r="F53" s="23">
        <v>1.6</v>
      </c>
      <c r="G53" s="23"/>
      <c r="H53" s="23"/>
      <c r="I53" s="23">
        <v>5.4</v>
      </c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7</v>
      </c>
      <c r="AE53" s="23">
        <f t="shared" si="11"/>
        <v>11.899999999999999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273.99999999999966</v>
      </c>
      <c r="C56" s="23">
        <f t="shared" si="12"/>
        <v>1147.7</v>
      </c>
      <c r="D56" s="23">
        <f t="shared" si="12"/>
        <v>0</v>
      </c>
      <c r="E56" s="23">
        <f t="shared" si="12"/>
        <v>61.6</v>
      </c>
      <c r="F56" s="23">
        <f t="shared" si="12"/>
        <v>145.4</v>
      </c>
      <c r="G56" s="23">
        <f t="shared" si="12"/>
        <v>85.3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111.6</v>
      </c>
      <c r="M56" s="23">
        <f t="shared" si="12"/>
        <v>66.8</v>
      </c>
      <c r="N56" s="23">
        <f t="shared" si="12"/>
        <v>0</v>
      </c>
      <c r="O56" s="23">
        <f t="shared" si="12"/>
        <v>4.1</v>
      </c>
      <c r="P56" s="23">
        <f t="shared" si="12"/>
        <v>0</v>
      </c>
      <c r="Q56" s="23">
        <f t="shared" si="12"/>
        <v>55.7</v>
      </c>
      <c r="R56" s="23">
        <f t="shared" si="12"/>
        <v>0</v>
      </c>
      <c r="S56" s="23">
        <f t="shared" si="12"/>
        <v>5.3</v>
      </c>
      <c r="T56" s="23">
        <f t="shared" si="12"/>
        <v>0</v>
      </c>
      <c r="U56" s="23">
        <f t="shared" si="12"/>
        <v>0.5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536.3000000000011</v>
      </c>
      <c r="AE56" s="23">
        <f>AE50-AE51-AE53-AE55-AE52-AE54</f>
        <v>885.3999999999984</v>
      </c>
    </row>
    <row r="57" spans="1:31" ht="15" customHeight="1">
      <c r="A57" s="4" t="s">
        <v>10</v>
      </c>
      <c r="B57" s="23">
        <v>88.8</v>
      </c>
      <c r="C57" s="23">
        <v>258.8</v>
      </c>
      <c r="D57" s="23"/>
      <c r="E57" s="23"/>
      <c r="F57" s="23"/>
      <c r="G57" s="23"/>
      <c r="H57" s="23"/>
      <c r="I57" s="23">
        <v>38.8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38.8</v>
      </c>
      <c r="AE57" s="23">
        <f aca="true" t="shared" si="14" ref="AE57:AE63">B57+C57-AD57</f>
        <v>308.8</v>
      </c>
    </row>
    <row r="58" spans="1:31" ht="15" customHeight="1">
      <c r="A58" s="4" t="s">
        <v>11</v>
      </c>
      <c r="B58" s="23">
        <f>1184.4-70-2.7-107.2-0.1</f>
        <v>1004.4</v>
      </c>
      <c r="C58" s="23">
        <v>566.2</v>
      </c>
      <c r="D58" s="23"/>
      <c r="E58" s="23"/>
      <c r="F58" s="23">
        <v>15.8</v>
      </c>
      <c r="G58" s="23"/>
      <c r="H58" s="23"/>
      <c r="I58" s="23">
        <v>0.1</v>
      </c>
      <c r="J58" s="27">
        <v>76.2</v>
      </c>
      <c r="K58" s="23">
        <v>297.5</v>
      </c>
      <c r="L58" s="23">
        <v>4.3</v>
      </c>
      <c r="M58" s="23">
        <v>4.8</v>
      </c>
      <c r="N58" s="23"/>
      <c r="O58" s="28"/>
      <c r="P58" s="23"/>
      <c r="Q58" s="28"/>
      <c r="R58" s="23"/>
      <c r="S58" s="27">
        <v>73.5</v>
      </c>
      <c r="T58" s="27"/>
      <c r="U58" s="27">
        <v>563.3</v>
      </c>
      <c r="V58" s="23">
        <v>1.5</v>
      </c>
      <c r="W58" s="27"/>
      <c r="X58" s="27"/>
      <c r="Y58" s="27"/>
      <c r="Z58" s="23"/>
      <c r="AA58" s="23"/>
      <c r="AB58" s="23"/>
      <c r="AC58" s="23"/>
      <c r="AD58" s="28">
        <f t="shared" si="13"/>
        <v>1037</v>
      </c>
      <c r="AE58" s="23">
        <f t="shared" si="14"/>
        <v>533.5999999999999</v>
      </c>
    </row>
    <row r="59" spans="1:32" ht="15.75">
      <c r="A59" s="3" t="s">
        <v>5</v>
      </c>
      <c r="B59" s="23">
        <f>893.4-49.7-0.1</f>
        <v>843.5999999999999</v>
      </c>
      <c r="C59" s="23">
        <v>24.1</v>
      </c>
      <c r="D59" s="23"/>
      <c r="E59" s="23"/>
      <c r="F59" s="23"/>
      <c r="G59" s="23"/>
      <c r="H59" s="23"/>
      <c r="I59" s="23"/>
      <c r="J59" s="27">
        <v>7.2</v>
      </c>
      <c r="K59" s="23">
        <v>297.2</v>
      </c>
      <c r="L59" s="23"/>
      <c r="M59" s="23"/>
      <c r="N59" s="23"/>
      <c r="O59" s="28"/>
      <c r="P59" s="23"/>
      <c r="Q59" s="28"/>
      <c r="R59" s="23"/>
      <c r="S59" s="27"/>
      <c r="T59" s="27"/>
      <c r="U59" s="27">
        <v>563.3</v>
      </c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867.6999999999999</v>
      </c>
      <c r="AE59" s="23">
        <f t="shared" si="14"/>
        <v>0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24.4-16</f>
        <v>8.399999999999999</v>
      </c>
      <c r="C61" s="23">
        <f>67.5-54.6</f>
        <v>12.899999999999999</v>
      </c>
      <c r="D61" s="23"/>
      <c r="E61" s="23"/>
      <c r="F61" s="23"/>
      <c r="G61" s="23"/>
      <c r="H61" s="23"/>
      <c r="I61" s="23"/>
      <c r="J61" s="27"/>
      <c r="K61" s="23"/>
      <c r="L61" s="23">
        <v>4.3</v>
      </c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4.3</v>
      </c>
      <c r="AE61" s="23">
        <f t="shared" si="14"/>
        <v>16.999999999999996</v>
      </c>
      <c r="AF61" s="6"/>
    </row>
    <row r="62" spans="1:31" ht="15.75">
      <c r="A62" s="3" t="s">
        <v>2</v>
      </c>
      <c r="B62" s="23">
        <f>8.9-2.9-0.1</f>
        <v>5.9</v>
      </c>
      <c r="C62" s="23">
        <f>67.3-62</f>
        <v>5.299999999999997</v>
      </c>
      <c r="D62" s="23"/>
      <c r="E62" s="23"/>
      <c r="F62" s="23"/>
      <c r="G62" s="23"/>
      <c r="H62" s="23"/>
      <c r="I62" s="23">
        <v>0.1</v>
      </c>
      <c r="J62" s="27"/>
      <c r="K62" s="23"/>
      <c r="L62" s="23"/>
      <c r="M62" s="23">
        <v>4.7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4.8</v>
      </c>
      <c r="AE62" s="23">
        <f t="shared" si="14"/>
        <v>6.399999999999998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146.50000000000006</v>
      </c>
      <c r="C64" s="23">
        <f t="shared" si="15"/>
        <v>523.9000000000001</v>
      </c>
      <c r="D64" s="23">
        <f t="shared" si="15"/>
        <v>0</v>
      </c>
      <c r="E64" s="23">
        <f t="shared" si="15"/>
        <v>0</v>
      </c>
      <c r="F64" s="23">
        <f t="shared" si="15"/>
        <v>15.8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69</v>
      </c>
      <c r="K64" s="23">
        <f t="shared" si="15"/>
        <v>0.30000000000001137</v>
      </c>
      <c r="L64" s="23">
        <f t="shared" si="15"/>
        <v>0</v>
      </c>
      <c r="M64" s="23">
        <f t="shared" si="15"/>
        <v>0.09999999999999964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73.5</v>
      </c>
      <c r="T64" s="23">
        <f t="shared" si="15"/>
        <v>0</v>
      </c>
      <c r="U64" s="23">
        <f t="shared" si="15"/>
        <v>0</v>
      </c>
      <c r="V64" s="23">
        <f t="shared" si="15"/>
        <v>1.5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160.2</v>
      </c>
      <c r="AE64" s="23">
        <f>AE58-AE59-AE62-AE63-AE61-AE60</f>
        <v>510.19999999999993</v>
      </c>
    </row>
    <row r="65" spans="1:31" ht="31.5">
      <c r="A65" s="4" t="s">
        <v>34</v>
      </c>
      <c r="B65" s="23">
        <v>139.7</v>
      </c>
      <c r="C65" s="23">
        <v>1232.5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>
        <v>3.1</v>
      </c>
      <c r="P65" s="23"/>
      <c r="Q65" s="23">
        <v>261.8</v>
      </c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264.90000000000003</v>
      </c>
      <c r="AE65" s="31">
        <f aca="true" t="shared" si="16" ref="AE65:AE75">B65+C65-AD65</f>
        <v>1107.3</v>
      </c>
    </row>
    <row r="66" spans="1:31" ht="15.75">
      <c r="A66" s="4" t="s">
        <v>43</v>
      </c>
      <c r="B66" s="23">
        <v>6.4</v>
      </c>
      <c r="C66" s="23">
        <v>9</v>
      </c>
      <c r="D66" s="23"/>
      <c r="E66" s="23"/>
      <c r="F66" s="23"/>
      <c r="G66" s="23"/>
      <c r="H66" s="23"/>
      <c r="I66" s="23">
        <v>5.5</v>
      </c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9.9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>
        <v>165.6</v>
      </c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165.6</v>
      </c>
      <c r="AE67" s="31">
        <f t="shared" si="16"/>
        <v>220.20000000000002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361.3-47.2-303.1+13.5-0.1</f>
        <v>24.4</v>
      </c>
      <c r="C68" s="23">
        <f>1473.7-100</f>
        <v>1373.7</v>
      </c>
      <c r="D68" s="23">
        <v>8</v>
      </c>
      <c r="E68" s="23"/>
      <c r="F68" s="23">
        <v>31.5</v>
      </c>
      <c r="G68" s="23">
        <v>2.6</v>
      </c>
      <c r="H68" s="23"/>
      <c r="I68" s="23">
        <v>93.7</v>
      </c>
      <c r="J68" s="27"/>
      <c r="K68" s="23">
        <v>2.1</v>
      </c>
      <c r="L68" s="23"/>
      <c r="M68" s="23">
        <v>5.8</v>
      </c>
      <c r="N68" s="23"/>
      <c r="O68" s="23"/>
      <c r="P68" s="23"/>
      <c r="Q68" s="28"/>
      <c r="R68" s="23"/>
      <c r="S68" s="27"/>
      <c r="T68" s="27"/>
      <c r="U68" s="27">
        <v>4.9</v>
      </c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148.60000000000002</v>
      </c>
      <c r="AE68" s="31">
        <f t="shared" si="16"/>
        <v>1249.5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13.5</v>
      </c>
    </row>
    <row r="70" spans="1:31" ht="15" customHeight="1">
      <c r="A70" s="3" t="s">
        <v>2</v>
      </c>
      <c r="B70" s="23">
        <f>41.3-39.1</f>
        <v>2.1999999999999957</v>
      </c>
      <c r="C70" s="23">
        <f>364-364</f>
        <v>0</v>
      </c>
      <c r="D70" s="23"/>
      <c r="E70" s="23"/>
      <c r="F70" s="23"/>
      <c r="G70" s="23"/>
      <c r="H70" s="23"/>
      <c r="I70" s="23"/>
      <c r="J70" s="27"/>
      <c r="K70" s="23">
        <v>2.1</v>
      </c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2.1</v>
      </c>
      <c r="AE70" s="31">
        <f t="shared" si="16"/>
        <v>0.09999999999999565</v>
      </c>
    </row>
    <row r="71" spans="1:31" s="11" customFormat="1" ht="31.5">
      <c r="A71" s="12" t="s">
        <v>21</v>
      </c>
      <c r="B71" s="23">
        <f>73.1-7.1-0.2</f>
        <v>65.8</v>
      </c>
      <c r="C71" s="23">
        <v>74.8</v>
      </c>
      <c r="D71" s="23"/>
      <c r="E71" s="29"/>
      <c r="F71" s="29"/>
      <c r="G71" s="29">
        <v>6.3</v>
      </c>
      <c r="H71" s="29"/>
      <c r="I71" s="29">
        <v>25.5</v>
      </c>
      <c r="J71" s="30"/>
      <c r="K71" s="29"/>
      <c r="L71" s="29"/>
      <c r="M71" s="29"/>
      <c r="N71" s="29">
        <v>0.4</v>
      </c>
      <c r="O71" s="29"/>
      <c r="P71" s="29"/>
      <c r="Q71" s="32"/>
      <c r="R71" s="29"/>
      <c r="S71" s="30">
        <v>38.4</v>
      </c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70.6</v>
      </c>
      <c r="AE71" s="31">
        <f t="shared" si="16"/>
        <v>70</v>
      </c>
    </row>
    <row r="72" spans="1:31" s="11" customFormat="1" ht="15.75">
      <c r="A72" s="3" t="s">
        <v>5</v>
      </c>
      <c r="B72" s="23">
        <f>65.3-2.7</f>
        <v>62.599999999999994</v>
      </c>
      <c r="C72" s="23">
        <v>0.1</v>
      </c>
      <c r="D72" s="23"/>
      <c r="E72" s="29"/>
      <c r="F72" s="29"/>
      <c r="G72" s="29"/>
      <c r="H72" s="29"/>
      <c r="I72" s="29">
        <v>24.3</v>
      </c>
      <c r="J72" s="30"/>
      <c r="K72" s="29"/>
      <c r="L72" s="29"/>
      <c r="M72" s="29"/>
      <c r="N72" s="29"/>
      <c r="O72" s="29"/>
      <c r="P72" s="29"/>
      <c r="Q72" s="32"/>
      <c r="R72" s="29"/>
      <c r="S72" s="30">
        <v>38.4</v>
      </c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62.7</v>
      </c>
      <c r="AE72" s="31">
        <f t="shared" si="16"/>
        <v>0</v>
      </c>
    </row>
    <row r="73" spans="1:31" s="11" customFormat="1" ht="15.75">
      <c r="A73" s="3" t="s">
        <v>2</v>
      </c>
      <c r="B73" s="23">
        <v>0.1</v>
      </c>
      <c r="C73" s="23">
        <f>4.9-4.5</f>
        <v>0.40000000000000036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0.1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0.40000000000000036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166.7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200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57766.40000000001</v>
      </c>
      <c r="C87" s="43">
        <f t="shared" si="18"/>
        <v>28642.5</v>
      </c>
      <c r="D87" s="43">
        <f t="shared" si="18"/>
        <v>747.4</v>
      </c>
      <c r="E87" s="43">
        <f t="shared" si="18"/>
        <v>261.5</v>
      </c>
      <c r="F87" s="43">
        <f t="shared" si="18"/>
        <v>704.5999999999999</v>
      </c>
      <c r="G87" s="43">
        <f t="shared" si="18"/>
        <v>347.6</v>
      </c>
      <c r="H87" s="43">
        <f t="shared" si="18"/>
        <v>515.1</v>
      </c>
      <c r="I87" s="43">
        <f t="shared" si="18"/>
        <v>1200.5</v>
      </c>
      <c r="J87" s="43">
        <f t="shared" si="18"/>
        <v>276.3</v>
      </c>
      <c r="K87" s="43">
        <f t="shared" si="18"/>
        <v>28944.3</v>
      </c>
      <c r="L87" s="43">
        <f t="shared" si="18"/>
        <v>286.59999999999997</v>
      </c>
      <c r="M87" s="43">
        <f t="shared" si="18"/>
        <v>1069.1999999999998</v>
      </c>
      <c r="N87" s="43">
        <f t="shared" si="18"/>
        <v>329.59999999999997</v>
      </c>
      <c r="O87" s="43">
        <f t="shared" si="18"/>
        <v>226.3</v>
      </c>
      <c r="P87" s="43">
        <f t="shared" si="18"/>
        <v>333.70000000000005</v>
      </c>
      <c r="Q87" s="43">
        <f t="shared" si="18"/>
        <v>408.3</v>
      </c>
      <c r="R87" s="43">
        <f t="shared" si="18"/>
        <v>849.1</v>
      </c>
      <c r="S87" s="43">
        <f t="shared" si="18"/>
        <v>464.90000000000003</v>
      </c>
      <c r="T87" s="43">
        <f t="shared" si="18"/>
        <v>332.20000000000005</v>
      </c>
      <c r="U87" s="43">
        <f t="shared" si="18"/>
        <v>26887.800000000003</v>
      </c>
      <c r="V87" s="43">
        <f t="shared" si="18"/>
        <v>983.9000000000001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65168.90000000001</v>
      </c>
      <c r="AE87" s="60">
        <f>AE10+AE15+AE23+AE31+AE45+AE49+AE50+AE57+AE58+AE65+AE67+AE68+AE71+AE74+AE75+AE76+AE81+AE82+AE83+AE84+AE66+AE38+AE85</f>
        <v>21239.999999999993</v>
      </c>
    </row>
    <row r="88" spans="1:31" ht="15.75">
      <c r="A88" s="3" t="s">
        <v>5</v>
      </c>
      <c r="B88" s="23">
        <f aca="true" t="shared" si="19" ref="B88:AB88">B11+B16+B24+B32+B51+B59+B69+B39+B72</f>
        <v>50225.3</v>
      </c>
      <c r="C88" s="23">
        <f t="shared" si="19"/>
        <v>6053.6</v>
      </c>
      <c r="D88" s="23">
        <f t="shared" si="19"/>
        <v>0</v>
      </c>
      <c r="E88" s="23">
        <f t="shared" si="19"/>
        <v>196.3</v>
      </c>
      <c r="F88" s="23">
        <f t="shared" si="19"/>
        <v>26.3</v>
      </c>
      <c r="G88" s="23">
        <f t="shared" si="19"/>
        <v>0</v>
      </c>
      <c r="H88" s="23">
        <f t="shared" si="19"/>
        <v>137</v>
      </c>
      <c r="I88" s="23">
        <f t="shared" si="19"/>
        <v>24.3</v>
      </c>
      <c r="J88" s="23">
        <f t="shared" si="19"/>
        <v>206.99999999999997</v>
      </c>
      <c r="K88" s="23">
        <f t="shared" si="19"/>
        <v>28722.8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59.1</v>
      </c>
      <c r="P88" s="23">
        <f t="shared" si="19"/>
        <v>0</v>
      </c>
      <c r="Q88" s="23">
        <f t="shared" si="19"/>
        <v>0.2</v>
      </c>
      <c r="R88" s="23">
        <f t="shared" si="19"/>
        <v>499.1</v>
      </c>
      <c r="S88" s="23">
        <f t="shared" si="19"/>
        <v>273.2</v>
      </c>
      <c r="T88" s="23">
        <f t="shared" si="19"/>
        <v>233.5</v>
      </c>
      <c r="U88" s="23">
        <f t="shared" si="19"/>
        <v>25823.9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56202.7</v>
      </c>
      <c r="AE88" s="28">
        <f>B88+C88-AD88</f>
        <v>76.20000000000437</v>
      </c>
    </row>
    <row r="89" spans="1:31" ht="15.75">
      <c r="A89" s="3" t="s">
        <v>2</v>
      </c>
      <c r="B89" s="23">
        <f aca="true" t="shared" si="20" ref="B89:X89">B12+B19+B27+B34+B53+B62+B42+B73+B70</f>
        <v>554.2</v>
      </c>
      <c r="C89" s="23">
        <f t="shared" si="20"/>
        <v>5726.1</v>
      </c>
      <c r="D89" s="23">
        <f t="shared" si="20"/>
        <v>286.8</v>
      </c>
      <c r="E89" s="23">
        <f t="shared" si="20"/>
        <v>0</v>
      </c>
      <c r="F89" s="23">
        <f t="shared" si="20"/>
        <v>43.5</v>
      </c>
      <c r="G89" s="23">
        <f t="shared" si="20"/>
        <v>0</v>
      </c>
      <c r="H89" s="23">
        <f t="shared" si="20"/>
        <v>0</v>
      </c>
      <c r="I89" s="23">
        <f t="shared" si="20"/>
        <v>324.3</v>
      </c>
      <c r="J89" s="23">
        <f t="shared" si="20"/>
        <v>0</v>
      </c>
      <c r="K89" s="23">
        <f t="shared" si="20"/>
        <v>2.5</v>
      </c>
      <c r="L89" s="23">
        <f t="shared" si="20"/>
        <v>0</v>
      </c>
      <c r="M89" s="23">
        <f t="shared" si="20"/>
        <v>4.7</v>
      </c>
      <c r="N89" s="23">
        <f t="shared" si="20"/>
        <v>260.40000000000003</v>
      </c>
      <c r="O89" s="23">
        <f t="shared" si="20"/>
        <v>0</v>
      </c>
      <c r="P89" s="23">
        <f t="shared" si="20"/>
        <v>0</v>
      </c>
      <c r="Q89" s="23">
        <f t="shared" si="20"/>
        <v>68.60000000000001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510.9</v>
      </c>
      <c r="V89" s="23">
        <f t="shared" si="20"/>
        <v>757.8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2259.5</v>
      </c>
      <c r="AE89" s="28">
        <f>B89+C89-AD89</f>
        <v>4020.8</v>
      </c>
    </row>
    <row r="90" spans="1:31" ht="15.75">
      <c r="A90" s="3" t="s">
        <v>3</v>
      </c>
      <c r="B90" s="23">
        <f aca="true" t="shared" si="21" ref="B90:AB90">B17+B25+B40+B60</f>
        <v>385.9</v>
      </c>
      <c r="C90" s="23">
        <f t="shared" si="21"/>
        <v>57.600000000000094</v>
      </c>
      <c r="D90" s="23">
        <f t="shared" si="21"/>
        <v>0</v>
      </c>
      <c r="E90" s="23">
        <f t="shared" si="21"/>
        <v>0</v>
      </c>
      <c r="F90" s="23">
        <f t="shared" si="21"/>
        <v>92.5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24.2</v>
      </c>
      <c r="M90" s="23">
        <f t="shared" si="21"/>
        <v>50.6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167.3</v>
      </c>
      <c r="AE90" s="28">
        <f>B90+C90-AD90</f>
        <v>276.20000000000005</v>
      </c>
    </row>
    <row r="91" spans="1:31" ht="15.75">
      <c r="A91" s="3" t="s">
        <v>1</v>
      </c>
      <c r="B91" s="23">
        <f aca="true" t="shared" si="22" ref="B91:X91">B18+B26+B61+B33+B41+B52+B46</f>
        <v>1195.4</v>
      </c>
      <c r="C91" s="23">
        <f t="shared" si="22"/>
        <v>515.8000000000001</v>
      </c>
      <c r="D91" s="23">
        <f t="shared" si="22"/>
        <v>117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174.3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130.1</v>
      </c>
      <c r="M91" s="23">
        <f t="shared" si="22"/>
        <v>475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896.4</v>
      </c>
      <c r="AE91" s="28">
        <f>B91+C91-AD91</f>
        <v>814.8000000000003</v>
      </c>
    </row>
    <row r="92" spans="1:31" ht="15.75">
      <c r="A92" s="3" t="s">
        <v>17</v>
      </c>
      <c r="B92" s="23">
        <f aca="true" t="shared" si="23" ref="B92:AB92">B20+B28+B47+B35+B54+B13</f>
        <v>964.0999999999999</v>
      </c>
      <c r="C92" s="23">
        <f t="shared" si="23"/>
        <v>397.9</v>
      </c>
      <c r="D92" s="23">
        <f t="shared" si="23"/>
        <v>0</v>
      </c>
      <c r="E92" s="23">
        <f t="shared" si="23"/>
        <v>0</v>
      </c>
      <c r="F92" s="23">
        <f t="shared" si="23"/>
        <v>92.5</v>
      </c>
      <c r="G92" s="23">
        <f t="shared" si="23"/>
        <v>83.4</v>
      </c>
      <c r="H92" s="23">
        <f t="shared" si="23"/>
        <v>0</v>
      </c>
      <c r="I92" s="23">
        <f t="shared" si="23"/>
        <v>64.7</v>
      </c>
      <c r="J92" s="23">
        <f t="shared" si="23"/>
        <v>0</v>
      </c>
      <c r="K92" s="23">
        <f t="shared" si="23"/>
        <v>0</v>
      </c>
      <c r="L92" s="23">
        <f t="shared" si="23"/>
        <v>10.7</v>
      </c>
      <c r="M92" s="23">
        <f t="shared" si="23"/>
        <v>150.1</v>
      </c>
      <c r="N92" s="23">
        <f t="shared" si="23"/>
        <v>22.5</v>
      </c>
      <c r="O92" s="23">
        <f t="shared" si="23"/>
        <v>36.9</v>
      </c>
      <c r="P92" s="23">
        <f t="shared" si="23"/>
        <v>186.2</v>
      </c>
      <c r="Q92" s="23">
        <f t="shared" si="23"/>
        <v>4.9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4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655.9</v>
      </c>
      <c r="AE92" s="28">
        <f>B92+C92-AD92</f>
        <v>706.1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747.4</v>
      </c>
      <c r="E96" s="54">
        <f aca="true" t="shared" si="24" ref="E96:Y96">E87+D96</f>
        <v>1008.9</v>
      </c>
      <c r="F96" s="54">
        <f t="shared" si="24"/>
        <v>1713.5</v>
      </c>
      <c r="G96" s="54">
        <f t="shared" si="24"/>
        <v>2061.1</v>
      </c>
      <c r="H96" s="54">
        <f t="shared" si="24"/>
        <v>2576.2</v>
      </c>
      <c r="I96" s="54">
        <f t="shared" si="24"/>
        <v>3776.7</v>
      </c>
      <c r="J96" s="54">
        <f t="shared" si="24"/>
        <v>4053</v>
      </c>
      <c r="K96" s="54">
        <f t="shared" si="24"/>
        <v>32997.3</v>
      </c>
      <c r="L96" s="54">
        <f t="shared" si="24"/>
        <v>33283.9</v>
      </c>
      <c r="M96" s="54">
        <f t="shared" si="24"/>
        <v>34353.1</v>
      </c>
      <c r="N96" s="54">
        <f t="shared" si="24"/>
        <v>34682.7</v>
      </c>
      <c r="O96" s="54">
        <f t="shared" si="24"/>
        <v>34909</v>
      </c>
      <c r="P96" s="54">
        <f t="shared" si="24"/>
        <v>35242.7</v>
      </c>
      <c r="Q96" s="54">
        <f t="shared" si="24"/>
        <v>35651</v>
      </c>
      <c r="R96" s="54">
        <f t="shared" si="24"/>
        <v>36500.1</v>
      </c>
      <c r="S96" s="54">
        <f t="shared" si="24"/>
        <v>36965</v>
      </c>
      <c r="T96" s="54">
        <f t="shared" si="24"/>
        <v>37297.2</v>
      </c>
      <c r="U96" s="54">
        <f t="shared" si="24"/>
        <v>64185</v>
      </c>
      <c r="V96" s="54">
        <f t="shared" si="24"/>
        <v>65168.9</v>
      </c>
      <c r="W96" s="54">
        <f t="shared" si="24"/>
        <v>65168.9</v>
      </c>
      <c r="X96" s="54">
        <f t="shared" si="24"/>
        <v>65168.9</v>
      </c>
      <c r="Y96" s="54">
        <f t="shared" si="24"/>
        <v>65168.9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F3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U28" sqref="U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60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19">
        <v>25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26788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17705.6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>
        <v>9082.4</v>
      </c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11856.199999999999</v>
      </c>
      <c r="C8" s="41">
        <v>0</v>
      </c>
      <c r="D8" s="44">
        <v>1366.9</v>
      </c>
      <c r="E8" s="56">
        <v>672.9</v>
      </c>
      <c r="F8" s="56">
        <v>157.9</v>
      </c>
      <c r="G8" s="56">
        <v>325.5</v>
      </c>
      <c r="H8" s="56">
        <v>567.7</v>
      </c>
      <c r="I8" s="56">
        <v>1034.6</v>
      </c>
      <c r="J8" s="57">
        <v>192.3</v>
      </c>
      <c r="K8" s="56">
        <v>324.9</v>
      </c>
      <c r="L8" s="56">
        <v>283.5</v>
      </c>
      <c r="M8" s="56">
        <v>231.6</v>
      </c>
      <c r="N8" s="56">
        <v>271.2</v>
      </c>
      <c r="O8" s="56">
        <v>781.6</v>
      </c>
      <c r="P8" s="56">
        <v>357.5</v>
      </c>
      <c r="Q8" s="56">
        <v>221.2</v>
      </c>
      <c r="R8" s="56">
        <v>453.5</v>
      </c>
      <c r="S8" s="58">
        <v>463</v>
      </c>
      <c r="T8" s="58">
        <v>580.6</v>
      </c>
      <c r="U8" s="56">
        <v>484.3</v>
      </c>
      <c r="V8" s="57">
        <v>324.7</v>
      </c>
      <c r="W8" s="57">
        <v>337.6</v>
      </c>
      <c r="X8" s="57">
        <v>408.4</v>
      </c>
      <c r="Y8" s="57">
        <v>1015.8</v>
      </c>
      <c r="Z8" s="56">
        <v>999</v>
      </c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47455.80000000001</v>
      </c>
      <c r="C9" s="25">
        <f>C10+C15+C23+C31+C45+C49+C50+C57+C58+C67+C68+C81+C71+C74+C76+C75+C65+C82+C83+C84+C66+C38+C85</f>
        <v>21240</v>
      </c>
      <c r="D9" s="25">
        <f aca="true" t="shared" si="0" ref="D9:Y9">D10+D15+D23+D31+D45+D49+D50+D57+D58+D67+D68+D81+D71+D74+D76+D75+D65+D82+D84+D83+D38+D85+D66</f>
        <v>1366.8999999999999</v>
      </c>
      <c r="E9" s="25">
        <f t="shared" si="0"/>
        <v>672.9</v>
      </c>
      <c r="F9" s="25">
        <f t="shared" si="0"/>
        <v>157.89999999999998</v>
      </c>
      <c r="G9" s="25">
        <f t="shared" si="0"/>
        <v>325.5</v>
      </c>
      <c r="H9" s="25">
        <f t="shared" si="0"/>
        <v>567.6999999999999</v>
      </c>
      <c r="I9" s="25">
        <f t="shared" si="0"/>
        <v>1034.6</v>
      </c>
      <c r="J9" s="25">
        <f t="shared" si="0"/>
        <v>192.3</v>
      </c>
      <c r="K9" s="25">
        <f t="shared" si="0"/>
        <v>320.6</v>
      </c>
      <c r="L9" s="25">
        <f t="shared" si="0"/>
        <v>287.8</v>
      </c>
      <c r="M9" s="25">
        <f t="shared" si="0"/>
        <v>17937.2</v>
      </c>
      <c r="N9" s="25">
        <f t="shared" si="0"/>
        <v>271.20000000000005</v>
      </c>
      <c r="O9" s="25">
        <f t="shared" si="0"/>
        <v>781.6</v>
      </c>
      <c r="P9" s="25">
        <f t="shared" si="0"/>
        <v>357.5</v>
      </c>
      <c r="Q9" s="25">
        <f t="shared" si="0"/>
        <v>221.2</v>
      </c>
      <c r="R9" s="25">
        <f t="shared" si="0"/>
        <v>453.40000000000003</v>
      </c>
      <c r="S9" s="25">
        <f t="shared" si="0"/>
        <v>463.1</v>
      </c>
      <c r="T9" s="25">
        <f t="shared" si="0"/>
        <v>580.6</v>
      </c>
      <c r="U9" s="25">
        <f t="shared" si="0"/>
        <v>484.3</v>
      </c>
      <c r="V9" s="25">
        <f t="shared" si="0"/>
        <v>324.59999999999997</v>
      </c>
      <c r="W9" s="25">
        <f t="shared" si="0"/>
        <v>336.59999999999997</v>
      </c>
      <c r="X9" s="25">
        <f t="shared" si="0"/>
        <v>409.40000000000003</v>
      </c>
      <c r="Y9" s="25">
        <f t="shared" si="0"/>
        <v>10098.2</v>
      </c>
      <c r="Z9" s="25">
        <f>Z10+Z15+Z23+Z31+Z45+Z49+Z50+Z57+Z58+Z67+Z68+Z81+Z71+Z74+Z76+Z75+Z65+Z82+Z84+Z83+Z38</f>
        <v>999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38644.100000000006</v>
      </c>
      <c r="AE9" s="51">
        <f>AE10+AE15+AE23+AE31+AE45+AE49+AE50+AE57+AE58+AE67+AE68+AE71+AE81+AE74+AE76+AE75+AE65+AE82+AE84+AE83+AE66+AE38+AE85</f>
        <v>30051.7</v>
      </c>
      <c r="AG9" s="50"/>
    </row>
    <row r="10" spans="1:31" ht="15.75">
      <c r="A10" s="4" t="s">
        <v>4</v>
      </c>
      <c r="B10" s="23">
        <f>4534.6+60</f>
        <v>4594.6</v>
      </c>
      <c r="C10" s="23">
        <v>979.6</v>
      </c>
      <c r="D10" s="23"/>
      <c r="E10" s="23">
        <v>94.4</v>
      </c>
      <c r="F10" s="23">
        <f>157.9+27.1</f>
        <v>185</v>
      </c>
      <c r="G10" s="23">
        <v>10</v>
      </c>
      <c r="H10" s="23">
        <v>29.7</v>
      </c>
      <c r="I10" s="23">
        <v>0.1</v>
      </c>
      <c r="J10" s="26">
        <v>2.3</v>
      </c>
      <c r="K10" s="23">
        <v>0.9</v>
      </c>
      <c r="L10" s="23">
        <v>2.4</v>
      </c>
      <c r="M10" s="23">
        <v>1230.3</v>
      </c>
      <c r="N10" s="23">
        <v>10</v>
      </c>
      <c r="O10" s="28">
        <v>5.4</v>
      </c>
      <c r="P10" s="23">
        <v>7.5</v>
      </c>
      <c r="Q10" s="23">
        <v>26</v>
      </c>
      <c r="R10" s="23">
        <v>27.9</v>
      </c>
      <c r="S10" s="27">
        <v>195.1</v>
      </c>
      <c r="T10" s="27">
        <v>89.2</v>
      </c>
      <c r="U10" s="27"/>
      <c r="V10" s="23"/>
      <c r="W10" s="28"/>
      <c r="X10" s="27">
        <v>0.1</v>
      </c>
      <c r="Y10" s="27">
        <v>1960.3</v>
      </c>
      <c r="Z10" s="23"/>
      <c r="AA10" s="23"/>
      <c r="AB10" s="23"/>
      <c r="AC10" s="23"/>
      <c r="AD10" s="23">
        <f aca="true" t="shared" si="1" ref="AD10:AD55">SUM(D10:AB10)</f>
        <v>3876.6</v>
      </c>
      <c r="AE10" s="28">
        <f>B10+C10-AD10</f>
        <v>1697.6000000000008</v>
      </c>
    </row>
    <row r="11" spans="1:31" ht="15.75">
      <c r="A11" s="3" t="s">
        <v>5</v>
      </c>
      <c r="B11" s="23">
        <f>3882.5+60+9.8</f>
        <v>3952.3</v>
      </c>
      <c r="C11" s="23">
        <v>44.5</v>
      </c>
      <c r="D11" s="23"/>
      <c r="E11" s="23">
        <v>72.6</v>
      </c>
      <c r="F11" s="23">
        <v>185</v>
      </c>
      <c r="G11" s="23"/>
      <c r="H11" s="23">
        <v>28.5</v>
      </c>
      <c r="I11" s="23"/>
      <c r="J11" s="27"/>
      <c r="K11" s="23"/>
      <c r="L11" s="23"/>
      <c r="M11" s="23">
        <v>1193.9</v>
      </c>
      <c r="N11" s="23"/>
      <c r="O11" s="28"/>
      <c r="P11" s="23">
        <v>4.4</v>
      </c>
      <c r="Q11" s="23">
        <v>9.2</v>
      </c>
      <c r="R11" s="23"/>
      <c r="S11" s="27"/>
      <c r="T11" s="27">
        <v>7.5</v>
      </c>
      <c r="U11" s="27"/>
      <c r="V11" s="23"/>
      <c r="W11" s="27"/>
      <c r="X11" s="27"/>
      <c r="Y11" s="27">
        <v>1960.3</v>
      </c>
      <c r="Z11" s="23"/>
      <c r="AA11" s="23"/>
      <c r="AB11" s="23"/>
      <c r="AC11" s="23"/>
      <c r="AD11" s="23">
        <f t="shared" si="1"/>
        <v>3461.4</v>
      </c>
      <c r="AE11" s="28">
        <f>B11+C11-AD11</f>
        <v>535.4000000000001</v>
      </c>
    </row>
    <row r="12" spans="1:31" ht="15.75">
      <c r="A12" s="3" t="s">
        <v>2</v>
      </c>
      <c r="B12" s="37">
        <v>181</v>
      </c>
      <c r="C12" s="23">
        <v>85.7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36.4</v>
      </c>
      <c r="N12" s="23"/>
      <c r="O12" s="28"/>
      <c r="P12" s="23"/>
      <c r="Q12" s="23">
        <v>8.8</v>
      </c>
      <c r="R12" s="23">
        <v>1</v>
      </c>
      <c r="S12" s="27"/>
      <c r="T12" s="27">
        <v>3.9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50.1</v>
      </c>
      <c r="AE12" s="28">
        <f>B12+C12-AD12</f>
        <v>216.6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461.3000000000002</v>
      </c>
      <c r="C14" s="23">
        <f t="shared" si="2"/>
        <v>849.4</v>
      </c>
      <c r="D14" s="23">
        <f t="shared" si="2"/>
        <v>0</v>
      </c>
      <c r="E14" s="23">
        <f t="shared" si="2"/>
        <v>21.80000000000001</v>
      </c>
      <c r="F14" s="23">
        <f t="shared" si="2"/>
        <v>0</v>
      </c>
      <c r="G14" s="23">
        <f t="shared" si="2"/>
        <v>10</v>
      </c>
      <c r="H14" s="23">
        <f t="shared" si="2"/>
        <v>1.1999999999999993</v>
      </c>
      <c r="I14" s="23">
        <f t="shared" si="2"/>
        <v>0.1</v>
      </c>
      <c r="J14" s="23">
        <f t="shared" si="2"/>
        <v>2.3</v>
      </c>
      <c r="K14" s="23">
        <f t="shared" si="2"/>
        <v>0.9</v>
      </c>
      <c r="L14" s="23">
        <f t="shared" si="2"/>
        <v>2.4</v>
      </c>
      <c r="M14" s="23">
        <f t="shared" si="2"/>
        <v>-1.3500311979441904E-13</v>
      </c>
      <c r="N14" s="23">
        <f t="shared" si="2"/>
        <v>10</v>
      </c>
      <c r="O14" s="23">
        <f t="shared" si="2"/>
        <v>5.4</v>
      </c>
      <c r="P14" s="23">
        <f t="shared" si="2"/>
        <v>3.0999999999999996</v>
      </c>
      <c r="Q14" s="23">
        <f t="shared" si="2"/>
        <v>8</v>
      </c>
      <c r="R14" s="23">
        <f t="shared" si="2"/>
        <v>26.9</v>
      </c>
      <c r="S14" s="23">
        <f t="shared" si="2"/>
        <v>195.1</v>
      </c>
      <c r="T14" s="23">
        <f t="shared" si="2"/>
        <v>77.8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0.1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365.0999999999999</v>
      </c>
      <c r="AE14" s="28">
        <f>AE10-AE11-AE12-AE13</f>
        <v>945.6000000000007</v>
      </c>
    </row>
    <row r="15" spans="1:31" ht="15" customHeight="1">
      <c r="A15" s="4" t="s">
        <v>6</v>
      </c>
      <c r="B15" s="23">
        <f>11605.8+64.6</f>
        <v>11670.4</v>
      </c>
      <c r="C15" s="23">
        <v>3675.6</v>
      </c>
      <c r="D15" s="45">
        <v>532.4</v>
      </c>
      <c r="E15" s="45">
        <v>224.1</v>
      </c>
      <c r="F15" s="23">
        <v>43.7</v>
      </c>
      <c r="G15" s="23">
        <v>120.4</v>
      </c>
      <c r="H15" s="23">
        <v>34.3</v>
      </c>
      <c r="I15" s="23">
        <v>129.9</v>
      </c>
      <c r="J15" s="27">
        <v>190</v>
      </c>
      <c r="K15" s="23">
        <v>101.2</v>
      </c>
      <c r="L15" s="23"/>
      <c r="M15" s="23">
        <v>6489.1</v>
      </c>
      <c r="N15" s="23">
        <v>30</v>
      </c>
      <c r="O15" s="28">
        <v>140.2</v>
      </c>
      <c r="P15" s="23">
        <v>100</v>
      </c>
      <c r="Q15" s="28"/>
      <c r="R15" s="23">
        <v>51.2</v>
      </c>
      <c r="S15" s="27"/>
      <c r="T15" s="27">
        <v>46.5</v>
      </c>
      <c r="U15" s="27">
        <v>20</v>
      </c>
      <c r="V15" s="23">
        <v>57.5</v>
      </c>
      <c r="W15" s="27"/>
      <c r="X15" s="27"/>
      <c r="Y15" s="27">
        <v>86.9</v>
      </c>
      <c r="Z15" s="23">
        <v>407.4</v>
      </c>
      <c r="AA15" s="23"/>
      <c r="AB15" s="23"/>
      <c r="AC15" s="23"/>
      <c r="AD15" s="28">
        <f t="shared" si="1"/>
        <v>8804.8</v>
      </c>
      <c r="AE15" s="28">
        <f aca="true" t="shared" si="3" ref="AE15:AE29">B15+C15-AD15</f>
        <v>6541.200000000001</v>
      </c>
    </row>
    <row r="16" spans="1:32" ht="15.75">
      <c r="A16" s="3" t="s">
        <v>5</v>
      </c>
      <c r="B16" s="23">
        <f>9934.5+64.6</f>
        <v>9999.1</v>
      </c>
      <c r="C16" s="23">
        <v>16.1</v>
      </c>
      <c r="D16" s="23"/>
      <c r="E16" s="23"/>
      <c r="F16" s="23"/>
      <c r="G16" s="23"/>
      <c r="H16" s="23"/>
      <c r="I16" s="23"/>
      <c r="J16" s="27"/>
      <c r="K16" s="23"/>
      <c r="L16" s="23"/>
      <c r="M16" s="23">
        <v>4412.3</v>
      </c>
      <c r="N16" s="23"/>
      <c r="O16" s="28"/>
      <c r="P16" s="23"/>
      <c r="Q16" s="28"/>
      <c r="R16" s="23"/>
      <c r="S16" s="27"/>
      <c r="T16" s="27"/>
      <c r="U16" s="27"/>
      <c r="V16" s="23">
        <v>57.5</v>
      </c>
      <c r="W16" s="27"/>
      <c r="X16" s="27"/>
      <c r="Y16" s="27">
        <v>86.9</v>
      </c>
      <c r="Z16" s="23">
        <v>407.4</v>
      </c>
      <c r="AA16" s="23"/>
      <c r="AB16" s="23"/>
      <c r="AC16" s="23"/>
      <c r="AD16" s="28">
        <f t="shared" si="1"/>
        <v>4964.099999999999</v>
      </c>
      <c r="AE16" s="28">
        <f t="shared" si="3"/>
        <v>5051.100000000001</v>
      </c>
      <c r="AF16" s="6"/>
    </row>
    <row r="17" spans="1:31" ht="15.75">
      <c r="A17" s="3" t="s">
        <v>3</v>
      </c>
      <c r="B17" s="23">
        <v>8.2</v>
      </c>
      <c r="C17" s="23">
        <v>3.7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1</v>
      </c>
      <c r="N17" s="23"/>
      <c r="O17" s="28">
        <v>0.2</v>
      </c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1.2</v>
      </c>
      <c r="AE17" s="28">
        <f t="shared" si="3"/>
        <v>10.7</v>
      </c>
    </row>
    <row r="18" spans="1:31" ht="15.75">
      <c r="A18" s="3" t="s">
        <v>1</v>
      </c>
      <c r="B18" s="23">
        <f>728.1+1.1</f>
        <v>729.2</v>
      </c>
      <c r="C18" s="23">
        <v>564</v>
      </c>
      <c r="D18" s="23"/>
      <c r="E18" s="23">
        <v>77.6</v>
      </c>
      <c r="F18" s="23">
        <v>43.7</v>
      </c>
      <c r="G18" s="23"/>
      <c r="H18" s="23">
        <v>34.3</v>
      </c>
      <c r="I18" s="23">
        <v>79.9</v>
      </c>
      <c r="J18" s="27">
        <v>190</v>
      </c>
      <c r="K18" s="23">
        <v>100</v>
      </c>
      <c r="L18" s="23"/>
      <c r="M18" s="23">
        <v>316.7</v>
      </c>
      <c r="N18" s="23"/>
      <c r="O18" s="28">
        <v>131.4</v>
      </c>
      <c r="P18" s="23"/>
      <c r="Q18" s="28"/>
      <c r="R18" s="23"/>
      <c r="S18" s="27"/>
      <c r="T18" s="27">
        <v>13.3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986.9</v>
      </c>
      <c r="AE18" s="28">
        <f t="shared" si="3"/>
        <v>306.30000000000007</v>
      </c>
    </row>
    <row r="19" spans="1:31" ht="15.75">
      <c r="A19" s="3" t="s">
        <v>2</v>
      </c>
      <c r="B19" s="23">
        <v>665.9</v>
      </c>
      <c r="C19" s="23">
        <v>2419.2</v>
      </c>
      <c r="D19" s="23">
        <v>518</v>
      </c>
      <c r="E19" s="23">
        <v>146.5</v>
      </c>
      <c r="F19" s="23"/>
      <c r="G19" s="23">
        <v>100.2</v>
      </c>
      <c r="H19" s="23"/>
      <c r="I19" s="23"/>
      <c r="J19" s="27"/>
      <c r="K19" s="23"/>
      <c r="L19" s="23"/>
      <c r="M19" s="23">
        <v>1758.9</v>
      </c>
      <c r="N19" s="23"/>
      <c r="O19" s="28">
        <v>8.6</v>
      </c>
      <c r="P19" s="23">
        <v>0.7</v>
      </c>
      <c r="Q19" s="28"/>
      <c r="R19" s="23">
        <v>21.2</v>
      </c>
      <c r="S19" s="27"/>
      <c r="T19" s="27">
        <v>33.2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2587.2999999999997</v>
      </c>
      <c r="AE19" s="28">
        <f t="shared" si="3"/>
        <v>497.8000000000002</v>
      </c>
    </row>
    <row r="20" spans="1:31" ht="15.75">
      <c r="A20" s="3" t="s">
        <v>17</v>
      </c>
      <c r="B20" s="23">
        <f>7.9-0.5-1.1</f>
        <v>6.300000000000001</v>
      </c>
      <c r="C20" s="23">
        <v>59.6</v>
      </c>
      <c r="D20" s="23">
        <v>14.4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51.50000000000001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261.6999999999992</v>
      </c>
      <c r="C22" s="23">
        <f t="shared" si="4"/>
        <v>613.0000000000003</v>
      </c>
      <c r="D22" s="23">
        <f t="shared" si="4"/>
        <v>-2.3092638912203256E-14</v>
      </c>
      <c r="E22" s="23">
        <f t="shared" si="4"/>
        <v>0</v>
      </c>
      <c r="F22" s="23">
        <f t="shared" si="4"/>
        <v>0</v>
      </c>
      <c r="G22" s="23">
        <f t="shared" si="4"/>
        <v>20.200000000000003</v>
      </c>
      <c r="H22" s="23">
        <f t="shared" si="4"/>
        <v>0</v>
      </c>
      <c r="I22" s="23">
        <f t="shared" si="4"/>
        <v>50</v>
      </c>
      <c r="J22" s="23">
        <f t="shared" si="4"/>
        <v>0</v>
      </c>
      <c r="K22" s="23">
        <f t="shared" si="4"/>
        <v>1.2000000000000028</v>
      </c>
      <c r="L22" s="23">
        <f t="shared" si="4"/>
        <v>0</v>
      </c>
      <c r="M22" s="23">
        <f t="shared" si="4"/>
        <v>0.20000000000004547</v>
      </c>
      <c r="N22" s="23">
        <f t="shared" si="4"/>
        <v>30</v>
      </c>
      <c r="O22" s="23">
        <f t="shared" si="4"/>
        <v>-5.329070518200751E-15</v>
      </c>
      <c r="P22" s="23">
        <f t="shared" si="4"/>
        <v>99.3</v>
      </c>
      <c r="Q22" s="23">
        <f t="shared" si="4"/>
        <v>0</v>
      </c>
      <c r="R22" s="23">
        <f t="shared" si="4"/>
        <v>30.000000000000004</v>
      </c>
      <c r="S22" s="23">
        <f t="shared" si="4"/>
        <v>0</v>
      </c>
      <c r="T22" s="23">
        <f t="shared" si="4"/>
        <v>0</v>
      </c>
      <c r="U22" s="23">
        <f t="shared" si="4"/>
        <v>20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250.90000000000003</v>
      </c>
      <c r="AE22" s="28">
        <f t="shared" si="3"/>
        <v>623.7999999999995</v>
      </c>
    </row>
    <row r="23" spans="1:31" ht="15" customHeight="1">
      <c r="A23" s="4" t="s">
        <v>7</v>
      </c>
      <c r="B23" s="23">
        <v>21550.5</v>
      </c>
      <c r="C23" s="23">
        <v>3878.5</v>
      </c>
      <c r="D23" s="23">
        <v>405.3</v>
      </c>
      <c r="E23" s="23"/>
      <c r="F23" s="23"/>
      <c r="G23" s="23">
        <v>49.8</v>
      </c>
      <c r="H23" s="23"/>
      <c r="I23" s="23">
        <v>267.7</v>
      </c>
      <c r="J23" s="27"/>
      <c r="K23" s="23">
        <v>50</v>
      </c>
      <c r="L23" s="23"/>
      <c r="M23" s="23">
        <v>8793.3</v>
      </c>
      <c r="N23" s="23">
        <v>50</v>
      </c>
      <c r="O23" s="28">
        <v>0.7</v>
      </c>
      <c r="P23" s="23">
        <v>200</v>
      </c>
      <c r="Q23" s="28">
        <v>1.1</v>
      </c>
      <c r="R23" s="28">
        <v>30</v>
      </c>
      <c r="S23" s="27">
        <v>92.5</v>
      </c>
      <c r="T23" s="27">
        <v>134.8</v>
      </c>
      <c r="U23" s="27">
        <v>247.4</v>
      </c>
      <c r="V23" s="23">
        <v>9.3</v>
      </c>
      <c r="W23" s="27"/>
      <c r="X23" s="27">
        <v>409.3</v>
      </c>
      <c r="Y23" s="27">
        <v>7737.5</v>
      </c>
      <c r="Z23" s="23"/>
      <c r="AA23" s="23"/>
      <c r="AB23" s="23"/>
      <c r="AC23" s="23"/>
      <c r="AD23" s="28">
        <f t="shared" si="1"/>
        <v>18478.699999999997</v>
      </c>
      <c r="AE23" s="28">
        <f t="shared" si="3"/>
        <v>6950.300000000003</v>
      </c>
    </row>
    <row r="24" spans="1:32" ht="15.75">
      <c r="A24" s="3" t="s">
        <v>5</v>
      </c>
      <c r="B24" s="23">
        <v>16439.3</v>
      </c>
      <c r="C24" s="23">
        <v>1.9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6648.6</v>
      </c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>
        <v>409.3</v>
      </c>
      <c r="Y24" s="27">
        <v>7265</v>
      </c>
      <c r="Z24" s="23"/>
      <c r="AA24" s="23"/>
      <c r="AB24" s="23"/>
      <c r="AC24" s="23"/>
      <c r="AD24" s="28">
        <f t="shared" si="1"/>
        <v>14322.900000000001</v>
      </c>
      <c r="AE24" s="28">
        <f t="shared" si="3"/>
        <v>2118.2999999999993</v>
      </c>
      <c r="AF24" s="6"/>
    </row>
    <row r="25" spans="1:31" ht="15.75">
      <c r="A25" s="3" t="s">
        <v>3</v>
      </c>
      <c r="B25" s="23">
        <f>2527.3-120</f>
        <v>2407.3</v>
      </c>
      <c r="C25" s="23">
        <v>272.2</v>
      </c>
      <c r="D25" s="23"/>
      <c r="E25" s="23"/>
      <c r="F25" s="23"/>
      <c r="G25" s="23"/>
      <c r="H25" s="23"/>
      <c r="I25" s="23"/>
      <c r="J25" s="27"/>
      <c r="K25" s="23">
        <v>50</v>
      </c>
      <c r="L25" s="23"/>
      <c r="M25" s="23">
        <v>365.7</v>
      </c>
      <c r="N25" s="23"/>
      <c r="O25" s="28"/>
      <c r="P25" s="23"/>
      <c r="Q25" s="28">
        <v>1.1</v>
      </c>
      <c r="R25" s="23"/>
      <c r="S25" s="27">
        <v>48.1</v>
      </c>
      <c r="T25" s="27">
        <v>10.4</v>
      </c>
      <c r="U25" s="27"/>
      <c r="V25" s="23">
        <v>9.3</v>
      </c>
      <c r="W25" s="27"/>
      <c r="X25" s="27"/>
      <c r="Y25" s="27"/>
      <c r="Z25" s="23"/>
      <c r="AA25" s="23"/>
      <c r="AB25" s="23"/>
      <c r="AC25" s="23"/>
      <c r="AD25" s="28">
        <f t="shared" si="1"/>
        <v>484.6</v>
      </c>
      <c r="AE25" s="28">
        <f t="shared" si="3"/>
        <v>2194.9</v>
      </c>
    </row>
    <row r="26" spans="1:31" ht="15.75">
      <c r="A26" s="3" t="s">
        <v>1</v>
      </c>
      <c r="B26" s="23">
        <f>246.4+296.3</f>
        <v>542.7</v>
      </c>
      <c r="C26" s="23">
        <v>151.8</v>
      </c>
      <c r="D26" s="23"/>
      <c r="E26" s="23"/>
      <c r="F26" s="23"/>
      <c r="G26" s="23"/>
      <c r="H26" s="23"/>
      <c r="I26" s="23">
        <v>167.7</v>
      </c>
      <c r="J26" s="27"/>
      <c r="K26" s="23"/>
      <c r="L26" s="23"/>
      <c r="M26" s="23">
        <v>45.5</v>
      </c>
      <c r="N26" s="23"/>
      <c r="O26" s="28"/>
      <c r="P26" s="23"/>
      <c r="Q26" s="28"/>
      <c r="R26" s="23"/>
      <c r="S26" s="27">
        <v>44.4</v>
      </c>
      <c r="T26" s="27">
        <v>10.1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267.7</v>
      </c>
      <c r="AE26" s="28">
        <f t="shared" si="3"/>
        <v>426.8</v>
      </c>
    </row>
    <row r="27" spans="1:31" ht="15.75">
      <c r="A27" s="3" t="s">
        <v>2</v>
      </c>
      <c r="B27" s="23">
        <f>1240.1-2.7-86.6</f>
        <v>1150.8</v>
      </c>
      <c r="C27" s="23">
        <v>1490.7</v>
      </c>
      <c r="D27" s="23">
        <v>383.7</v>
      </c>
      <c r="E27" s="23"/>
      <c r="F27" s="23"/>
      <c r="G27" s="23">
        <v>49.8</v>
      </c>
      <c r="H27" s="23"/>
      <c r="I27" s="23"/>
      <c r="J27" s="27"/>
      <c r="K27" s="23"/>
      <c r="L27" s="23"/>
      <c r="M27" s="23">
        <v>1261.4</v>
      </c>
      <c r="N27" s="23"/>
      <c r="O27" s="28"/>
      <c r="P27" s="23"/>
      <c r="Q27" s="28"/>
      <c r="R27" s="23"/>
      <c r="S27" s="27"/>
      <c r="T27" s="27">
        <v>100</v>
      </c>
      <c r="U27" s="27">
        <v>227.4</v>
      </c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2022.3000000000002</v>
      </c>
      <c r="AE27" s="28">
        <f t="shared" si="3"/>
        <v>619.1999999999998</v>
      </c>
    </row>
    <row r="28" spans="1:31" ht="15.75">
      <c r="A28" s="3" t="s">
        <v>17</v>
      </c>
      <c r="B28" s="23">
        <v>116.6</v>
      </c>
      <c r="C28" s="23">
        <v>42.9</v>
      </c>
      <c r="D28" s="23">
        <v>21.6</v>
      </c>
      <c r="E28" s="23"/>
      <c r="F28" s="23"/>
      <c r="G28" s="23"/>
      <c r="H28" s="23"/>
      <c r="I28" s="23"/>
      <c r="J28" s="27"/>
      <c r="K28" s="23"/>
      <c r="L28" s="23"/>
      <c r="M28" s="23">
        <v>108.1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129.7</v>
      </c>
      <c r="AE28" s="28">
        <f t="shared" si="3"/>
        <v>29.80000000000001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893.8000000000008</v>
      </c>
      <c r="C30" s="23">
        <f t="shared" si="5"/>
        <v>1918.9999999999998</v>
      </c>
      <c r="D30" s="23">
        <f t="shared" si="5"/>
        <v>2.1316282072803006E-14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100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363.99999999999875</v>
      </c>
      <c r="N30" s="23">
        <f t="shared" si="5"/>
        <v>50</v>
      </c>
      <c r="O30" s="28">
        <f t="shared" si="5"/>
        <v>0.7</v>
      </c>
      <c r="P30" s="23">
        <f t="shared" si="5"/>
        <v>200</v>
      </c>
      <c r="Q30" s="23">
        <f t="shared" si="5"/>
        <v>0</v>
      </c>
      <c r="R30" s="23">
        <f t="shared" si="5"/>
        <v>30</v>
      </c>
      <c r="S30" s="23">
        <f t="shared" si="5"/>
        <v>0</v>
      </c>
      <c r="T30" s="23">
        <f t="shared" si="5"/>
        <v>14.300000000000011</v>
      </c>
      <c r="U30" s="23">
        <f t="shared" si="5"/>
        <v>20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472.5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1251.4999999999989</v>
      </c>
      <c r="AE30" s="28">
        <f>AE23-AE24-AE25-AE26-AE27-AE28-AE29</f>
        <v>1561.3000000000036</v>
      </c>
    </row>
    <row r="31" spans="1:31" ht="15" customHeight="1">
      <c r="A31" s="4" t="s">
        <v>8</v>
      </c>
      <c r="B31" s="23">
        <v>700.9</v>
      </c>
      <c r="C31" s="23">
        <v>325.6</v>
      </c>
      <c r="D31" s="23"/>
      <c r="E31" s="23">
        <v>238</v>
      </c>
      <c r="F31" s="23"/>
      <c r="G31" s="23">
        <v>33</v>
      </c>
      <c r="H31" s="23"/>
      <c r="I31" s="23"/>
      <c r="J31" s="27"/>
      <c r="K31" s="23">
        <v>52.1</v>
      </c>
      <c r="L31" s="23">
        <v>52.4</v>
      </c>
      <c r="M31" s="23"/>
      <c r="N31" s="23"/>
      <c r="O31" s="28">
        <v>257</v>
      </c>
      <c r="P31" s="23"/>
      <c r="Q31" s="28"/>
      <c r="R31" s="23"/>
      <c r="S31" s="27"/>
      <c r="T31" s="27"/>
      <c r="U31" s="27">
        <v>25.7</v>
      </c>
      <c r="V31" s="27">
        <v>26.3</v>
      </c>
      <c r="W31" s="27">
        <v>35</v>
      </c>
      <c r="X31" s="27"/>
      <c r="Y31" s="27"/>
      <c r="Z31" s="23"/>
      <c r="AA31" s="23"/>
      <c r="AB31" s="23"/>
      <c r="AC31" s="23"/>
      <c r="AD31" s="28">
        <f t="shared" si="1"/>
        <v>719.5</v>
      </c>
      <c r="AE31" s="28">
        <f aca="true" t="shared" si="6" ref="AE31:AE36">B31+C31-AD31</f>
        <v>307</v>
      </c>
    </row>
    <row r="32" spans="1:31" ht="15.75">
      <c r="A32" s="3" t="s">
        <v>5</v>
      </c>
      <c r="B32" s="23">
        <v>153.7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52.4</v>
      </c>
      <c r="M32" s="23"/>
      <c r="N32" s="23"/>
      <c r="O32" s="23"/>
      <c r="P32" s="23"/>
      <c r="Q32" s="28"/>
      <c r="R32" s="23"/>
      <c r="S32" s="27"/>
      <c r="T32" s="27"/>
      <c r="U32" s="27">
        <v>24.4</v>
      </c>
      <c r="V32" s="27">
        <v>26.3</v>
      </c>
      <c r="W32" s="27"/>
      <c r="X32" s="27"/>
      <c r="Y32" s="27"/>
      <c r="Z32" s="23"/>
      <c r="AA32" s="23"/>
      <c r="AB32" s="23"/>
      <c r="AC32" s="23"/>
      <c r="AD32" s="28">
        <f t="shared" si="1"/>
        <v>103.1</v>
      </c>
      <c r="AE32" s="28">
        <f t="shared" si="6"/>
        <v>50.599999999999994</v>
      </c>
    </row>
    <row r="33" spans="1:31" ht="15.75">
      <c r="A33" s="3" t="s">
        <v>1</v>
      </c>
      <c r="B33" s="23">
        <v>44</v>
      </c>
      <c r="C33" s="23">
        <v>82</v>
      </c>
      <c r="D33" s="23"/>
      <c r="E33" s="23"/>
      <c r="F33" s="23"/>
      <c r="G33" s="23">
        <v>33</v>
      </c>
      <c r="H33" s="23"/>
      <c r="I33" s="23"/>
      <c r="J33" s="27"/>
      <c r="K33" s="23">
        <v>49</v>
      </c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>
        <v>35</v>
      </c>
      <c r="X33" s="27"/>
      <c r="Y33" s="27"/>
      <c r="Z33" s="23"/>
      <c r="AA33" s="23"/>
      <c r="AB33" s="23"/>
      <c r="AC33" s="23"/>
      <c r="AD33" s="28">
        <f t="shared" si="1"/>
        <v>117</v>
      </c>
      <c r="AE33" s="28">
        <f t="shared" si="6"/>
        <v>9</v>
      </c>
    </row>
    <row r="34" spans="1:31" ht="15.75">
      <c r="A34" s="3" t="s">
        <v>2</v>
      </c>
      <c r="B34" s="45">
        <v>7.3</v>
      </c>
      <c r="C34" s="23">
        <v>3</v>
      </c>
      <c r="D34" s="23"/>
      <c r="E34" s="23"/>
      <c r="F34" s="23"/>
      <c r="G34" s="23"/>
      <c r="H34" s="23"/>
      <c r="I34" s="23"/>
      <c r="J34" s="27"/>
      <c r="K34" s="23">
        <v>3.1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3.1</v>
      </c>
      <c r="AE34" s="28">
        <f t="shared" si="6"/>
        <v>7.200000000000001</v>
      </c>
    </row>
    <row r="35" spans="1:31" ht="15.75">
      <c r="A35" s="3" t="s">
        <v>17</v>
      </c>
      <c r="B35" s="23">
        <v>490.7</v>
      </c>
      <c r="C35" s="23">
        <v>238</v>
      </c>
      <c r="D35" s="23"/>
      <c r="E35" s="23">
        <v>238</v>
      </c>
      <c r="F35" s="23"/>
      <c r="G35" s="23"/>
      <c r="H35" s="23"/>
      <c r="I35" s="23"/>
      <c r="J35" s="27"/>
      <c r="K35" s="23"/>
      <c r="L35" s="23"/>
      <c r="M35" s="23"/>
      <c r="N35" s="23"/>
      <c r="O35" s="28">
        <v>257</v>
      </c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495</v>
      </c>
      <c r="AE35" s="28">
        <f t="shared" si="6"/>
        <v>233.70000000000005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5.200000000000102</v>
      </c>
      <c r="C37" s="23">
        <f t="shared" si="7"/>
        <v>2.6000000000000227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1.3000000000000007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1.3000000000000007</v>
      </c>
      <c r="AE37" s="28">
        <f>AE31-AE32-AE34-AE36-AE33-AE35</f>
        <v>6.499999999999943</v>
      </c>
    </row>
    <row r="38" spans="1:31" ht="15" customHeight="1">
      <c r="A38" s="4" t="s">
        <v>35</v>
      </c>
      <c r="B38" s="23">
        <v>521.5</v>
      </c>
      <c r="C38" s="23">
        <v>67.3</v>
      </c>
      <c r="D38" s="23"/>
      <c r="E38" s="23"/>
      <c r="F38" s="23"/>
      <c r="G38" s="23"/>
      <c r="H38" s="23"/>
      <c r="I38" s="23">
        <v>3.7</v>
      </c>
      <c r="J38" s="27"/>
      <c r="K38" s="23"/>
      <c r="L38" s="23"/>
      <c r="M38" s="23">
        <v>234.4</v>
      </c>
      <c r="N38" s="23"/>
      <c r="O38" s="28"/>
      <c r="P38" s="23"/>
      <c r="Q38" s="28"/>
      <c r="R38" s="28"/>
      <c r="S38" s="27"/>
      <c r="T38" s="27">
        <v>1.4</v>
      </c>
      <c r="U38" s="27">
        <v>10</v>
      </c>
      <c r="V38" s="23"/>
      <c r="W38" s="27"/>
      <c r="X38" s="27"/>
      <c r="Y38" s="27"/>
      <c r="Z38" s="23">
        <v>200.7</v>
      </c>
      <c r="AA38" s="23"/>
      <c r="AB38" s="23"/>
      <c r="AC38" s="23"/>
      <c r="AD38" s="28">
        <f t="shared" si="1"/>
        <v>450.2</v>
      </c>
      <c r="AE38" s="28">
        <f aca="true" t="shared" si="8" ref="AE38:AE43">B38+C38-AD38</f>
        <v>138.59999999999997</v>
      </c>
    </row>
    <row r="39" spans="1:32" ht="15.75">
      <c r="A39" s="3" t="s">
        <v>5</v>
      </c>
      <c r="B39" s="23">
        <v>480.7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231.2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>
        <v>200.7</v>
      </c>
      <c r="AA39" s="23"/>
      <c r="AB39" s="23"/>
      <c r="AC39" s="23"/>
      <c r="AD39" s="28">
        <f t="shared" si="1"/>
        <v>431.9</v>
      </c>
      <c r="AE39" s="28">
        <f t="shared" si="8"/>
        <v>48.80000000000001</v>
      </c>
      <c r="AF39" s="6"/>
    </row>
    <row r="40" spans="1:31" ht="15.75">
      <c r="A40" s="3" t="s">
        <v>3</v>
      </c>
      <c r="B40" s="23">
        <v>0.5</v>
      </c>
      <c r="C40" s="23">
        <v>0.3</v>
      </c>
      <c r="D40" s="23"/>
      <c r="E40" s="23"/>
      <c r="F40" s="23"/>
      <c r="G40" s="23"/>
      <c r="H40" s="23"/>
      <c r="I40" s="23">
        <v>0.3</v>
      </c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0.8</v>
      </c>
      <c r="AE40" s="28">
        <f t="shared" si="8"/>
        <v>0</v>
      </c>
    </row>
    <row r="41" spans="1:31" ht="15.75">
      <c r="A41" s="3" t="s">
        <v>1</v>
      </c>
      <c r="B41" s="23">
        <v>4.6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3.2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1.3999999999999995</v>
      </c>
    </row>
    <row r="42" spans="1:31" ht="15.75">
      <c r="A42" s="3" t="s">
        <v>2</v>
      </c>
      <c r="B42" s="23">
        <v>15.4</v>
      </c>
      <c r="C42" s="23">
        <v>3.4</v>
      </c>
      <c r="D42" s="23"/>
      <c r="E42" s="23"/>
      <c r="F42" s="23"/>
      <c r="G42" s="23"/>
      <c r="H42" s="23"/>
      <c r="I42" s="23">
        <v>3.4</v>
      </c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3.4</v>
      </c>
      <c r="AE42" s="28">
        <f t="shared" si="8"/>
        <v>15.4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20.30000000000001</v>
      </c>
      <c r="C44" s="23">
        <f t="shared" si="9"/>
        <v>63.6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4.440892098500626E-16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1.687538997430238E-14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0.8999999999999999</v>
      </c>
      <c r="U44" s="23">
        <f t="shared" si="9"/>
        <v>10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10.900000000000016</v>
      </c>
      <c r="AE44" s="28">
        <f>AE38-AE39-AE40-AE41-AE42-AE43</f>
        <v>72.99999999999994</v>
      </c>
    </row>
    <row r="45" spans="1:31" ht="15" customHeight="1">
      <c r="A45" s="4" t="s">
        <v>15</v>
      </c>
      <c r="B45" s="37">
        <v>441.8</v>
      </c>
      <c r="C45" s="23">
        <v>424.3</v>
      </c>
      <c r="D45" s="23">
        <v>23.9</v>
      </c>
      <c r="E45" s="29"/>
      <c r="F45" s="29"/>
      <c r="G45" s="29"/>
      <c r="H45" s="29"/>
      <c r="I45" s="29">
        <v>115.6</v>
      </c>
      <c r="J45" s="30"/>
      <c r="K45" s="29">
        <v>3.9</v>
      </c>
      <c r="L45" s="29"/>
      <c r="M45" s="29"/>
      <c r="N45" s="29">
        <v>14.3</v>
      </c>
      <c r="O45" s="32">
        <v>5.6</v>
      </c>
      <c r="P45" s="29"/>
      <c r="Q45" s="29">
        <v>19.1</v>
      </c>
      <c r="R45" s="29"/>
      <c r="S45" s="30">
        <v>99.9</v>
      </c>
      <c r="T45" s="30">
        <v>28.6</v>
      </c>
      <c r="U45" s="29">
        <v>8.8</v>
      </c>
      <c r="V45" s="29">
        <v>4.8</v>
      </c>
      <c r="W45" s="30"/>
      <c r="X45" s="30"/>
      <c r="Y45" s="30"/>
      <c r="Z45" s="29"/>
      <c r="AA45" s="29"/>
      <c r="AB45" s="29"/>
      <c r="AC45" s="29"/>
      <c r="AD45" s="28">
        <f t="shared" si="1"/>
        <v>324.50000000000006</v>
      </c>
      <c r="AE45" s="28">
        <f>B45+C45-AD45</f>
        <v>541.5999999999999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399.3</v>
      </c>
      <c r="C47" s="23">
        <v>365.6</v>
      </c>
      <c r="D47" s="23"/>
      <c r="E47" s="23"/>
      <c r="F47" s="23"/>
      <c r="G47" s="23"/>
      <c r="H47" s="23"/>
      <c r="I47" s="23">
        <v>114.4</v>
      </c>
      <c r="J47" s="27"/>
      <c r="K47" s="23">
        <v>3.8</v>
      </c>
      <c r="L47" s="23"/>
      <c r="M47" s="23"/>
      <c r="N47" s="23">
        <v>14.2</v>
      </c>
      <c r="O47" s="28"/>
      <c r="P47" s="23"/>
      <c r="Q47" s="23">
        <v>19.1</v>
      </c>
      <c r="R47" s="23"/>
      <c r="S47" s="27">
        <v>99.9</v>
      </c>
      <c r="T47" s="27">
        <v>6</v>
      </c>
      <c r="U47" s="23">
        <v>8.7</v>
      </c>
      <c r="V47" s="23">
        <v>4.7</v>
      </c>
      <c r="W47" s="27"/>
      <c r="X47" s="27"/>
      <c r="Y47" s="27"/>
      <c r="Z47" s="23"/>
      <c r="AA47" s="23"/>
      <c r="AB47" s="23"/>
      <c r="AC47" s="23"/>
      <c r="AD47" s="28">
        <f t="shared" si="1"/>
        <v>270.79999999999995</v>
      </c>
      <c r="AE47" s="28">
        <f>B47+C47-AD47</f>
        <v>494.10000000000014</v>
      </c>
    </row>
    <row r="48" spans="1:31" ht="15.75">
      <c r="A48" s="3" t="s">
        <v>26</v>
      </c>
      <c r="B48" s="23">
        <f aca="true" t="shared" si="10" ref="B48:AB48">B45-B46-B47</f>
        <v>42.5</v>
      </c>
      <c r="C48" s="23">
        <f t="shared" si="10"/>
        <v>58.69999999999999</v>
      </c>
      <c r="D48" s="23">
        <f t="shared" si="10"/>
        <v>23.9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1.1999999999999886</v>
      </c>
      <c r="J48" s="23">
        <f t="shared" si="10"/>
        <v>0</v>
      </c>
      <c r="K48" s="23">
        <f t="shared" si="10"/>
        <v>0.10000000000000009</v>
      </c>
      <c r="L48" s="23">
        <f t="shared" si="10"/>
        <v>0</v>
      </c>
      <c r="M48" s="23">
        <f t="shared" si="10"/>
        <v>0</v>
      </c>
      <c r="N48" s="23">
        <f t="shared" si="10"/>
        <v>0.10000000000000142</v>
      </c>
      <c r="O48" s="23">
        <f t="shared" si="10"/>
        <v>5.6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22.6</v>
      </c>
      <c r="U48" s="23">
        <f t="shared" si="10"/>
        <v>0.10000000000000142</v>
      </c>
      <c r="V48" s="23">
        <f t="shared" si="10"/>
        <v>0.09999999999999964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53.699999999999996</v>
      </c>
      <c r="AE48" s="28">
        <f>AE45-AE47-AE46</f>
        <v>47.49999999999977</v>
      </c>
    </row>
    <row r="49" spans="1:31" ht="15" customHeight="1">
      <c r="A49" s="4" t="s">
        <v>0</v>
      </c>
      <c r="B49" s="23">
        <v>3714.9</v>
      </c>
      <c r="C49" s="23">
        <v>7292.3</v>
      </c>
      <c r="D49" s="23">
        <v>366</v>
      </c>
      <c r="E49" s="23">
        <v>100</v>
      </c>
      <c r="F49" s="23"/>
      <c r="G49" s="23"/>
      <c r="H49" s="23">
        <v>134.5</v>
      </c>
      <c r="I49" s="23">
        <v>400</v>
      </c>
      <c r="J49" s="27"/>
      <c r="K49" s="23">
        <v>100</v>
      </c>
      <c r="L49" s="23">
        <v>87</v>
      </c>
      <c r="M49" s="23">
        <v>352.2</v>
      </c>
      <c r="N49" s="23">
        <v>50</v>
      </c>
      <c r="O49" s="28">
        <v>252.1</v>
      </c>
      <c r="P49" s="23"/>
      <c r="Q49" s="23">
        <v>100</v>
      </c>
      <c r="R49" s="23">
        <v>200</v>
      </c>
      <c r="S49" s="27"/>
      <c r="T49" s="27">
        <v>280</v>
      </c>
      <c r="U49" s="27"/>
      <c r="V49" s="23">
        <v>200</v>
      </c>
      <c r="W49" s="27"/>
      <c r="X49" s="27"/>
      <c r="Y49" s="27">
        <v>300</v>
      </c>
      <c r="Z49" s="23">
        <v>150</v>
      </c>
      <c r="AA49" s="23"/>
      <c r="AB49" s="23"/>
      <c r="AC49" s="23"/>
      <c r="AD49" s="28">
        <f t="shared" si="1"/>
        <v>3071.8</v>
      </c>
      <c r="AE49" s="28">
        <f aca="true" t="shared" si="11" ref="AE49:AE55">B49+C49-AD49</f>
        <v>7935.400000000001</v>
      </c>
    </row>
    <row r="50" spans="1:32" ht="15" customHeight="1">
      <c r="A50" s="4" t="s">
        <v>9</v>
      </c>
      <c r="B50" s="45">
        <v>2290.5</v>
      </c>
      <c r="C50" s="23">
        <v>897.5</v>
      </c>
      <c r="D50" s="23"/>
      <c r="E50" s="23"/>
      <c r="F50" s="23">
        <v>-70.8</v>
      </c>
      <c r="G50" s="23">
        <v>112.3</v>
      </c>
      <c r="H50" s="23">
        <v>364.3</v>
      </c>
      <c r="I50" s="23">
        <v>50.1</v>
      </c>
      <c r="J50" s="27"/>
      <c r="K50" s="23"/>
      <c r="L50" s="23">
        <v>26.1</v>
      </c>
      <c r="M50" s="23">
        <v>503.8</v>
      </c>
      <c r="N50" s="23">
        <v>60</v>
      </c>
      <c r="O50" s="28">
        <v>75.6</v>
      </c>
      <c r="P50" s="23"/>
      <c r="Q50" s="28">
        <v>0.4</v>
      </c>
      <c r="R50" s="23">
        <v>0.8</v>
      </c>
      <c r="S50" s="27">
        <v>37.2</v>
      </c>
      <c r="T50" s="27"/>
      <c r="U50" s="27">
        <v>20</v>
      </c>
      <c r="V50" s="23">
        <v>4.3</v>
      </c>
      <c r="W50" s="27">
        <v>299.2</v>
      </c>
      <c r="X50" s="27"/>
      <c r="Y50" s="27"/>
      <c r="Z50" s="23"/>
      <c r="AA50" s="23"/>
      <c r="AB50" s="23"/>
      <c r="AC50" s="23"/>
      <c r="AD50" s="28">
        <f t="shared" si="1"/>
        <v>1483.3000000000002</v>
      </c>
      <c r="AE50" s="23">
        <f t="shared" si="11"/>
        <v>1704.6999999999998</v>
      </c>
      <c r="AF50" s="6"/>
    </row>
    <row r="51" spans="1:32" ht="15.75">
      <c r="A51" s="3" t="s">
        <v>5</v>
      </c>
      <c r="B51" s="23">
        <f>1407.7+2.4+6.8</f>
        <v>1416.9</v>
      </c>
      <c r="C51" s="23">
        <v>0.2</v>
      </c>
      <c r="D51" s="23"/>
      <c r="E51" s="23"/>
      <c r="F51" s="23">
        <v>-70.8</v>
      </c>
      <c r="G51" s="23"/>
      <c r="H51" s="23"/>
      <c r="I51" s="23"/>
      <c r="J51" s="27"/>
      <c r="K51" s="23"/>
      <c r="L51" s="23"/>
      <c r="M51" s="23">
        <v>488</v>
      </c>
      <c r="N51" s="23"/>
      <c r="O51" s="28"/>
      <c r="P51" s="23"/>
      <c r="Q51" s="28"/>
      <c r="R51" s="23"/>
      <c r="S51" s="27"/>
      <c r="T51" s="27"/>
      <c r="U51" s="27"/>
      <c r="V51" s="23"/>
      <c r="W51" s="27">
        <v>299.2</v>
      </c>
      <c r="X51" s="27"/>
      <c r="Y51" s="27"/>
      <c r="Z51" s="23"/>
      <c r="AA51" s="23"/>
      <c r="AB51" s="23"/>
      <c r="AC51" s="23"/>
      <c r="AD51" s="28">
        <f t="shared" si="1"/>
        <v>716.4</v>
      </c>
      <c r="AE51" s="23">
        <f t="shared" si="11"/>
        <v>700.7000000000002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215.2-2.4-6.8</f>
        <v>205.99999999999997</v>
      </c>
      <c r="C53" s="23">
        <v>11.9</v>
      </c>
      <c r="D53" s="23"/>
      <c r="E53" s="23"/>
      <c r="F53" s="23"/>
      <c r="G53" s="23"/>
      <c r="H53" s="23"/>
      <c r="I53" s="23"/>
      <c r="J53" s="27"/>
      <c r="K53" s="23"/>
      <c r="L53" s="23"/>
      <c r="M53" s="23">
        <v>15.8</v>
      </c>
      <c r="N53" s="23"/>
      <c r="O53" s="28"/>
      <c r="P53" s="23"/>
      <c r="Q53" s="28">
        <v>0.4</v>
      </c>
      <c r="R53" s="23">
        <v>0.8</v>
      </c>
      <c r="S53" s="27">
        <v>1.6</v>
      </c>
      <c r="T53" s="27"/>
      <c r="U53" s="27"/>
      <c r="V53" s="23">
        <v>4.3</v>
      </c>
      <c r="W53" s="27"/>
      <c r="X53" s="27"/>
      <c r="Y53" s="27"/>
      <c r="Z53" s="23"/>
      <c r="AA53" s="23"/>
      <c r="AB53" s="23"/>
      <c r="AC53" s="23"/>
      <c r="AD53" s="28">
        <f t="shared" si="1"/>
        <v>22.900000000000002</v>
      </c>
      <c r="AE53" s="23">
        <f t="shared" si="11"/>
        <v>194.99999999999997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667.5999999999999</v>
      </c>
      <c r="C56" s="23">
        <f t="shared" si="12"/>
        <v>885.4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112.3</v>
      </c>
      <c r="H56" s="23">
        <f t="shared" si="12"/>
        <v>364.3</v>
      </c>
      <c r="I56" s="23">
        <f t="shared" si="12"/>
        <v>50.1</v>
      </c>
      <c r="J56" s="23">
        <f t="shared" si="12"/>
        <v>0</v>
      </c>
      <c r="K56" s="23">
        <f t="shared" si="12"/>
        <v>0</v>
      </c>
      <c r="L56" s="23">
        <f t="shared" si="12"/>
        <v>26.1</v>
      </c>
      <c r="M56" s="23">
        <f t="shared" si="12"/>
        <v>1.0658141036401503E-14</v>
      </c>
      <c r="N56" s="23">
        <f t="shared" si="12"/>
        <v>60</v>
      </c>
      <c r="O56" s="23">
        <f t="shared" si="12"/>
        <v>75.6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35.6</v>
      </c>
      <c r="T56" s="23">
        <f t="shared" si="12"/>
        <v>0</v>
      </c>
      <c r="U56" s="23">
        <f t="shared" si="12"/>
        <v>20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744.0000000000002</v>
      </c>
      <c r="AE56" s="23">
        <f>AE50-AE51-AE53-AE55-AE52-AE54</f>
        <v>808.9999999999997</v>
      </c>
    </row>
    <row r="57" spans="1:31" ht="15" customHeight="1">
      <c r="A57" s="4" t="s">
        <v>10</v>
      </c>
      <c r="B57" s="23">
        <v>88.8</v>
      </c>
      <c r="C57" s="23">
        <v>308.8</v>
      </c>
      <c r="D57" s="23">
        <v>26.2</v>
      </c>
      <c r="E57" s="23"/>
      <c r="F57" s="23"/>
      <c r="G57" s="23"/>
      <c r="H57" s="23"/>
      <c r="I57" s="23">
        <v>1.3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27.5</v>
      </c>
      <c r="AE57" s="23">
        <f aca="true" t="shared" si="14" ref="AE57:AE63">B57+C57-AD57</f>
        <v>370.1</v>
      </c>
    </row>
    <row r="58" spans="1:31" ht="15" customHeight="1">
      <c r="A58" s="4" t="s">
        <v>11</v>
      </c>
      <c r="B58" s="23">
        <v>927.9</v>
      </c>
      <c r="C58" s="23">
        <v>533.6</v>
      </c>
      <c r="D58" s="23"/>
      <c r="E58" s="23"/>
      <c r="F58" s="23"/>
      <c r="G58" s="23"/>
      <c r="H58" s="23"/>
      <c r="I58" s="23">
        <v>50</v>
      </c>
      <c r="J58" s="27"/>
      <c r="K58" s="23">
        <v>6.4</v>
      </c>
      <c r="L58" s="23">
        <v>90.2</v>
      </c>
      <c r="M58" s="23">
        <v>334.1</v>
      </c>
      <c r="N58" s="23">
        <v>56.6</v>
      </c>
      <c r="O58" s="28"/>
      <c r="P58" s="23">
        <v>50</v>
      </c>
      <c r="Q58" s="28"/>
      <c r="R58" s="23"/>
      <c r="S58" s="27"/>
      <c r="T58" s="27"/>
      <c r="U58" s="27">
        <v>80.7</v>
      </c>
      <c r="V58" s="23">
        <v>22.4</v>
      </c>
      <c r="W58" s="27"/>
      <c r="X58" s="27"/>
      <c r="Y58" s="27"/>
      <c r="Z58" s="23">
        <v>240.9</v>
      </c>
      <c r="AA58" s="23"/>
      <c r="AB58" s="23"/>
      <c r="AC58" s="23"/>
      <c r="AD58" s="28">
        <f t="shared" si="13"/>
        <v>931.3000000000001</v>
      </c>
      <c r="AE58" s="23">
        <f t="shared" si="14"/>
        <v>530.1999999999999</v>
      </c>
    </row>
    <row r="59" spans="1:32" ht="15.75">
      <c r="A59" s="3" t="s">
        <v>5</v>
      </c>
      <c r="B59" s="23">
        <v>612.8</v>
      </c>
      <c r="C59" s="23">
        <v>0</v>
      </c>
      <c r="D59" s="23"/>
      <c r="E59" s="23"/>
      <c r="F59" s="23"/>
      <c r="G59" s="23"/>
      <c r="H59" s="23"/>
      <c r="I59" s="23"/>
      <c r="J59" s="27"/>
      <c r="K59" s="23"/>
      <c r="L59" s="23"/>
      <c r="M59" s="23">
        <v>313.9</v>
      </c>
      <c r="N59" s="23"/>
      <c r="O59" s="28"/>
      <c r="P59" s="23"/>
      <c r="Q59" s="28"/>
      <c r="R59" s="23"/>
      <c r="S59" s="27"/>
      <c r="T59" s="27"/>
      <c r="U59" s="27"/>
      <c r="V59" s="23">
        <v>22.4</v>
      </c>
      <c r="W59" s="27"/>
      <c r="X59" s="27"/>
      <c r="Y59" s="27"/>
      <c r="Z59" s="23">
        <v>240.9</v>
      </c>
      <c r="AA59" s="23"/>
      <c r="AB59" s="23"/>
      <c r="AC59" s="23"/>
      <c r="AD59" s="28">
        <f t="shared" si="13"/>
        <v>577.1999999999999</v>
      </c>
      <c r="AE59" s="23">
        <f t="shared" si="14"/>
        <v>35.60000000000002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75.5</v>
      </c>
      <c r="C61" s="23">
        <v>17</v>
      </c>
      <c r="D61" s="23"/>
      <c r="E61" s="23"/>
      <c r="F61" s="23"/>
      <c r="G61" s="23"/>
      <c r="H61" s="23"/>
      <c r="I61" s="23"/>
      <c r="J61" s="27"/>
      <c r="K61" s="23"/>
      <c r="L61" s="23"/>
      <c r="M61" s="23">
        <v>17.5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17.5</v>
      </c>
      <c r="AE61" s="23">
        <f t="shared" si="14"/>
        <v>75</v>
      </c>
      <c r="AF61" s="6"/>
    </row>
    <row r="62" spans="1:31" ht="15.75">
      <c r="A62" s="3" t="s">
        <v>2</v>
      </c>
      <c r="B62" s="23">
        <v>10.7</v>
      </c>
      <c r="C62" s="23">
        <v>6.4</v>
      </c>
      <c r="D62" s="23"/>
      <c r="E62" s="23"/>
      <c r="F62" s="23"/>
      <c r="G62" s="23"/>
      <c r="H62" s="23"/>
      <c r="I62" s="23"/>
      <c r="J62" s="27"/>
      <c r="K62" s="23">
        <v>6.4</v>
      </c>
      <c r="L62" s="23"/>
      <c r="M62" s="23">
        <v>2.7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9.100000000000001</v>
      </c>
      <c r="AE62" s="23">
        <f t="shared" si="14"/>
        <v>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228.90000000000003</v>
      </c>
      <c r="C64" s="23">
        <f t="shared" si="15"/>
        <v>510.20000000000005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50</v>
      </c>
      <c r="J64" s="23">
        <f t="shared" si="15"/>
        <v>0</v>
      </c>
      <c r="K64" s="23">
        <f t="shared" si="15"/>
        <v>0</v>
      </c>
      <c r="L64" s="23">
        <f t="shared" si="15"/>
        <v>90.2</v>
      </c>
      <c r="M64" s="23">
        <f t="shared" si="15"/>
        <v>4.618527782440651E-14</v>
      </c>
      <c r="N64" s="23">
        <f t="shared" si="15"/>
        <v>56.6</v>
      </c>
      <c r="O64" s="23">
        <f t="shared" si="15"/>
        <v>0</v>
      </c>
      <c r="P64" s="23">
        <f t="shared" si="15"/>
        <v>50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80.7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327.50000000000006</v>
      </c>
      <c r="AE64" s="23">
        <f>AE58-AE59-AE62-AE63-AE61-AE60</f>
        <v>411.5999999999999</v>
      </c>
    </row>
    <row r="65" spans="1:31" ht="31.5">
      <c r="A65" s="4" t="s">
        <v>34</v>
      </c>
      <c r="B65" s="23">
        <v>0</v>
      </c>
      <c r="C65" s="23">
        <v>1107.3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>
        <v>113.5</v>
      </c>
      <c r="S65" s="27">
        <v>10.8</v>
      </c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124.3</v>
      </c>
      <c r="AE65" s="31">
        <f aca="true" t="shared" si="16" ref="AE65:AE75">B65+C65-AD65</f>
        <v>983</v>
      </c>
    </row>
    <row r="66" spans="1:31" ht="15.75">
      <c r="A66" s="4" t="s">
        <v>43</v>
      </c>
      <c r="B66" s="23">
        <v>6.4</v>
      </c>
      <c r="C66" s="23">
        <v>9.9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10.8</v>
      </c>
    </row>
    <row r="67" spans="1:48" ht="31.5">
      <c r="A67" s="4" t="s">
        <v>22</v>
      </c>
      <c r="B67" s="23">
        <v>0</v>
      </c>
      <c r="C67" s="29">
        <v>220.2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>
        <v>35</v>
      </c>
      <c r="P67" s="29"/>
      <c r="Q67" s="32"/>
      <c r="R67" s="29">
        <v>30</v>
      </c>
      <c r="S67" s="30">
        <v>20</v>
      </c>
      <c r="T67" s="30"/>
      <c r="U67" s="30">
        <v>35.1</v>
      </c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120.1</v>
      </c>
      <c r="AE67" s="31">
        <f t="shared" si="16"/>
        <v>100.1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834.2</v>
      </c>
      <c r="C68" s="23">
        <v>1249.5</v>
      </c>
      <c r="D68" s="23">
        <v>13.1</v>
      </c>
      <c r="E68" s="23">
        <v>16.4</v>
      </c>
      <c r="F68" s="23"/>
      <c r="G68" s="23"/>
      <c r="H68" s="23">
        <v>4.9</v>
      </c>
      <c r="I68" s="23">
        <v>15.9</v>
      </c>
      <c r="J68" s="27"/>
      <c r="K68" s="23"/>
      <c r="L68" s="23"/>
      <c r="M68" s="23"/>
      <c r="N68" s="23">
        <v>0.3</v>
      </c>
      <c r="O68" s="23">
        <v>10</v>
      </c>
      <c r="P68" s="23"/>
      <c r="Q68" s="28">
        <v>74.6</v>
      </c>
      <c r="R68" s="23"/>
      <c r="S68" s="27">
        <v>7.6</v>
      </c>
      <c r="T68" s="27"/>
      <c r="U68" s="27"/>
      <c r="V68" s="23"/>
      <c r="W68" s="27">
        <v>2.4</v>
      </c>
      <c r="X68" s="27"/>
      <c r="Y68" s="27">
        <v>13.5</v>
      </c>
      <c r="Z68" s="23"/>
      <c r="AA68" s="23"/>
      <c r="AB68" s="23"/>
      <c r="AC68" s="23"/>
      <c r="AD68" s="28">
        <f t="shared" si="13"/>
        <v>158.7</v>
      </c>
      <c r="AE68" s="31">
        <f t="shared" si="16"/>
        <v>1924.9999999999998</v>
      </c>
    </row>
    <row r="69" spans="1:31" ht="15" customHeight="1">
      <c r="A69" s="3" t="s">
        <v>5</v>
      </c>
      <c r="B69" s="23">
        <v>13.5</v>
      </c>
      <c r="C69" s="23">
        <v>13.5</v>
      </c>
      <c r="D69" s="23"/>
      <c r="E69" s="23">
        <v>13.5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27</v>
      </c>
      <c r="AE69" s="31">
        <f t="shared" si="16"/>
        <v>0</v>
      </c>
    </row>
    <row r="70" spans="1:31" ht="15" customHeight="1">
      <c r="A70" s="3" t="s">
        <v>2</v>
      </c>
      <c r="B70" s="23">
        <v>444.5</v>
      </c>
      <c r="C70" s="23">
        <v>0.1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>
        <v>10</v>
      </c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10</v>
      </c>
      <c r="AE70" s="31">
        <f t="shared" si="16"/>
        <v>434.6</v>
      </c>
    </row>
    <row r="71" spans="1:31" s="11" customFormat="1" ht="31.5">
      <c r="A71" s="12" t="s">
        <v>21</v>
      </c>
      <c r="B71" s="23">
        <v>80.1</v>
      </c>
      <c r="C71" s="23">
        <v>70</v>
      </c>
      <c r="D71" s="23"/>
      <c r="E71" s="29"/>
      <c r="F71" s="29"/>
      <c r="G71" s="29"/>
      <c r="H71" s="29"/>
      <c r="I71" s="29">
        <v>0.3</v>
      </c>
      <c r="J71" s="30"/>
      <c r="K71" s="29">
        <v>0.6</v>
      </c>
      <c r="L71" s="29">
        <v>29.7</v>
      </c>
      <c r="M71" s="29"/>
      <c r="N71" s="29"/>
      <c r="O71" s="29"/>
      <c r="P71" s="29"/>
      <c r="Q71" s="32"/>
      <c r="R71" s="29"/>
      <c r="S71" s="30"/>
      <c r="T71" s="30">
        <v>0.1</v>
      </c>
      <c r="U71" s="29">
        <v>36.6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67.3</v>
      </c>
      <c r="AE71" s="31">
        <f t="shared" si="16"/>
        <v>82.8</v>
      </c>
    </row>
    <row r="72" spans="1:31" s="11" customFormat="1" ht="15.75">
      <c r="A72" s="3" t="s">
        <v>5</v>
      </c>
      <c r="B72" s="23">
        <v>68.1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29.7</v>
      </c>
      <c r="M72" s="29"/>
      <c r="N72" s="29"/>
      <c r="O72" s="29"/>
      <c r="P72" s="29"/>
      <c r="Q72" s="32"/>
      <c r="R72" s="29"/>
      <c r="S72" s="30"/>
      <c r="T72" s="30"/>
      <c r="U72" s="29">
        <v>36.6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66.3</v>
      </c>
      <c r="AE72" s="31">
        <f t="shared" si="16"/>
        <v>1.7999999999999972</v>
      </c>
    </row>
    <row r="73" spans="1:31" s="11" customFormat="1" ht="15.75">
      <c r="A73" s="3" t="s">
        <v>2</v>
      </c>
      <c r="B73" s="23">
        <v>4.6</v>
      </c>
      <c r="C73" s="23">
        <v>0.4</v>
      </c>
      <c r="D73" s="23"/>
      <c r="E73" s="29"/>
      <c r="F73" s="29"/>
      <c r="G73" s="29"/>
      <c r="H73" s="29"/>
      <c r="I73" s="29"/>
      <c r="J73" s="30"/>
      <c r="K73" s="29">
        <v>0.1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4.9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200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233.3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47455.80000000001</v>
      </c>
      <c r="C87" s="43">
        <f t="shared" si="18"/>
        <v>21240</v>
      </c>
      <c r="D87" s="43">
        <f t="shared" si="18"/>
        <v>1366.8999999999999</v>
      </c>
      <c r="E87" s="43">
        <f t="shared" si="18"/>
        <v>672.9</v>
      </c>
      <c r="F87" s="43">
        <f t="shared" si="18"/>
        <v>157.89999999999998</v>
      </c>
      <c r="G87" s="43">
        <f t="shared" si="18"/>
        <v>325.5</v>
      </c>
      <c r="H87" s="43">
        <f t="shared" si="18"/>
        <v>567.6999999999999</v>
      </c>
      <c r="I87" s="43">
        <f t="shared" si="18"/>
        <v>1034.6</v>
      </c>
      <c r="J87" s="43">
        <f t="shared" si="18"/>
        <v>192.3</v>
      </c>
      <c r="K87" s="43">
        <f t="shared" si="18"/>
        <v>320.6</v>
      </c>
      <c r="L87" s="43">
        <f t="shared" si="18"/>
        <v>287.8</v>
      </c>
      <c r="M87" s="43">
        <f t="shared" si="18"/>
        <v>17937.2</v>
      </c>
      <c r="N87" s="43">
        <f t="shared" si="18"/>
        <v>271.20000000000005</v>
      </c>
      <c r="O87" s="43">
        <f t="shared" si="18"/>
        <v>781.6</v>
      </c>
      <c r="P87" s="43">
        <f t="shared" si="18"/>
        <v>357.5</v>
      </c>
      <c r="Q87" s="43">
        <f t="shared" si="18"/>
        <v>221.2</v>
      </c>
      <c r="R87" s="43">
        <f t="shared" si="18"/>
        <v>453.40000000000003</v>
      </c>
      <c r="S87" s="43">
        <f t="shared" si="18"/>
        <v>463.1</v>
      </c>
      <c r="T87" s="43">
        <f t="shared" si="18"/>
        <v>580.6</v>
      </c>
      <c r="U87" s="43">
        <f t="shared" si="18"/>
        <v>484.3</v>
      </c>
      <c r="V87" s="43">
        <f t="shared" si="18"/>
        <v>324.59999999999997</v>
      </c>
      <c r="W87" s="43">
        <f t="shared" si="18"/>
        <v>336.59999999999997</v>
      </c>
      <c r="X87" s="43">
        <f>X10+X15+X23+X31+X45+X49+X50+X57+X58+X65+X67+X68+X71+X74+X75+X76+X81+X82+X83+X84+X38</f>
        <v>409.40000000000003</v>
      </c>
      <c r="Y87" s="43">
        <f>Y10+Y15+Y23+Y31+Y45+Y49+Y50+Y57+Y58+Y65+Y67+Y68+Y71+Y74+Y75+Y76+Y81+Y82+Y83+Y84+Y38</f>
        <v>10098.2</v>
      </c>
      <c r="Z87" s="43">
        <f>Z10+Z15+Z23+Z31+Z45+Z49+Z50+Z57+Z58+Z65+Z67+Z68+Z71+Z74+Z75+Z76+Z81+Z82+Z83+Z84+Z38</f>
        <v>999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38644.100000000006</v>
      </c>
      <c r="AE87" s="60">
        <f>AE10+AE15+AE23+AE31+AE45+AE49+AE50+AE57+AE58+AE65+AE67+AE68+AE71+AE74+AE75+AE76+AE81+AE82+AE83+AE84+AE66+AE38+AE85</f>
        <v>30051.7</v>
      </c>
    </row>
    <row r="88" spans="1:31" ht="15.75">
      <c r="A88" s="3" t="s">
        <v>5</v>
      </c>
      <c r="B88" s="23">
        <f aca="true" t="shared" si="19" ref="B88:AB88">B11+B16+B24+B32+B51+B59+B69+B39+B72</f>
        <v>33136.4</v>
      </c>
      <c r="C88" s="23">
        <f t="shared" si="19"/>
        <v>76.2</v>
      </c>
      <c r="D88" s="23">
        <f t="shared" si="19"/>
        <v>0</v>
      </c>
      <c r="E88" s="23">
        <f t="shared" si="19"/>
        <v>86.1</v>
      </c>
      <c r="F88" s="23">
        <f t="shared" si="19"/>
        <v>114.2</v>
      </c>
      <c r="G88" s="23">
        <f t="shared" si="19"/>
        <v>0</v>
      </c>
      <c r="H88" s="23">
        <f t="shared" si="19"/>
        <v>28.5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82.1</v>
      </c>
      <c r="M88" s="23">
        <f t="shared" si="19"/>
        <v>13287.900000000001</v>
      </c>
      <c r="N88" s="23">
        <f t="shared" si="19"/>
        <v>0</v>
      </c>
      <c r="O88" s="23">
        <f t="shared" si="19"/>
        <v>0</v>
      </c>
      <c r="P88" s="23">
        <f t="shared" si="19"/>
        <v>4.4</v>
      </c>
      <c r="Q88" s="23">
        <f t="shared" si="19"/>
        <v>9.2</v>
      </c>
      <c r="R88" s="23">
        <f t="shared" si="19"/>
        <v>0</v>
      </c>
      <c r="S88" s="23">
        <f t="shared" si="19"/>
        <v>0</v>
      </c>
      <c r="T88" s="23">
        <f t="shared" si="19"/>
        <v>7.5</v>
      </c>
      <c r="U88" s="23">
        <f t="shared" si="19"/>
        <v>61</v>
      </c>
      <c r="V88" s="23">
        <f t="shared" si="19"/>
        <v>106.19999999999999</v>
      </c>
      <c r="W88" s="23">
        <f t="shared" si="19"/>
        <v>299.2</v>
      </c>
      <c r="X88" s="23">
        <f t="shared" si="19"/>
        <v>409.3</v>
      </c>
      <c r="Y88" s="23">
        <f t="shared" si="19"/>
        <v>9325.7</v>
      </c>
      <c r="Z88" s="23">
        <f t="shared" si="19"/>
        <v>849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24670.300000000003</v>
      </c>
      <c r="AE88" s="28">
        <f>B88+C88-AD88</f>
        <v>8542.299999999996</v>
      </c>
    </row>
    <row r="89" spans="1:31" ht="15.75">
      <c r="A89" s="3" t="s">
        <v>2</v>
      </c>
      <c r="B89" s="23">
        <f aca="true" t="shared" si="20" ref="B89:X89">B12+B19+B27+B34+B53+B62+B42+B73+B70</f>
        <v>2686.1999999999994</v>
      </c>
      <c r="C89" s="23">
        <f t="shared" si="20"/>
        <v>4020.7999999999997</v>
      </c>
      <c r="D89" s="23">
        <f t="shared" si="20"/>
        <v>901.7</v>
      </c>
      <c r="E89" s="23">
        <f t="shared" si="20"/>
        <v>146.5</v>
      </c>
      <c r="F89" s="23">
        <f t="shared" si="20"/>
        <v>0</v>
      </c>
      <c r="G89" s="23">
        <f t="shared" si="20"/>
        <v>150</v>
      </c>
      <c r="H89" s="23">
        <f t="shared" si="20"/>
        <v>0</v>
      </c>
      <c r="I89" s="23">
        <f t="shared" si="20"/>
        <v>3.4</v>
      </c>
      <c r="J89" s="23">
        <f t="shared" si="20"/>
        <v>0</v>
      </c>
      <c r="K89" s="23">
        <f t="shared" si="20"/>
        <v>9.6</v>
      </c>
      <c r="L89" s="23">
        <f t="shared" si="20"/>
        <v>0</v>
      </c>
      <c r="M89" s="23">
        <f t="shared" si="20"/>
        <v>3075.2000000000003</v>
      </c>
      <c r="N89" s="23">
        <f t="shared" si="20"/>
        <v>0</v>
      </c>
      <c r="O89" s="23">
        <f t="shared" si="20"/>
        <v>18.6</v>
      </c>
      <c r="P89" s="23">
        <f t="shared" si="20"/>
        <v>0.7</v>
      </c>
      <c r="Q89" s="23">
        <f t="shared" si="20"/>
        <v>9.200000000000001</v>
      </c>
      <c r="R89" s="23">
        <f t="shared" si="20"/>
        <v>23</v>
      </c>
      <c r="S89" s="23">
        <f t="shared" si="20"/>
        <v>1.6</v>
      </c>
      <c r="T89" s="23">
        <f t="shared" si="20"/>
        <v>137.1</v>
      </c>
      <c r="U89" s="23">
        <f t="shared" si="20"/>
        <v>227.4</v>
      </c>
      <c r="V89" s="23">
        <f t="shared" si="20"/>
        <v>4.3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4708.300000000001</v>
      </c>
      <c r="AE89" s="28">
        <f>B89+C89-AD89</f>
        <v>1998.699999999998</v>
      </c>
    </row>
    <row r="90" spans="1:31" ht="15.75">
      <c r="A90" s="3" t="s">
        <v>3</v>
      </c>
      <c r="B90" s="23">
        <f aca="true" t="shared" si="21" ref="B90:AB90">B17+B25+B40+B60</f>
        <v>2416</v>
      </c>
      <c r="C90" s="23">
        <f t="shared" si="21"/>
        <v>276.2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0.3</v>
      </c>
      <c r="J90" s="23">
        <f t="shared" si="21"/>
        <v>0</v>
      </c>
      <c r="K90" s="23">
        <f t="shared" si="21"/>
        <v>50</v>
      </c>
      <c r="L90" s="23">
        <f t="shared" si="21"/>
        <v>0</v>
      </c>
      <c r="M90" s="23">
        <f t="shared" si="21"/>
        <v>366.7</v>
      </c>
      <c r="N90" s="23">
        <f t="shared" si="21"/>
        <v>0</v>
      </c>
      <c r="O90" s="23">
        <f t="shared" si="21"/>
        <v>0.2</v>
      </c>
      <c r="P90" s="23">
        <f t="shared" si="21"/>
        <v>0</v>
      </c>
      <c r="Q90" s="23">
        <f t="shared" si="21"/>
        <v>1.1</v>
      </c>
      <c r="R90" s="23">
        <f t="shared" si="21"/>
        <v>0</v>
      </c>
      <c r="S90" s="23">
        <f t="shared" si="21"/>
        <v>48.1</v>
      </c>
      <c r="T90" s="23">
        <f t="shared" si="21"/>
        <v>10.9</v>
      </c>
      <c r="U90" s="23">
        <f t="shared" si="21"/>
        <v>0</v>
      </c>
      <c r="V90" s="23">
        <f t="shared" si="21"/>
        <v>9.3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486.6</v>
      </c>
      <c r="AE90" s="28">
        <f>B90+C90-AD90</f>
        <v>2205.6</v>
      </c>
    </row>
    <row r="91" spans="1:31" ht="15.75">
      <c r="A91" s="3" t="s">
        <v>1</v>
      </c>
      <c r="B91" s="23">
        <f aca="true" t="shared" si="22" ref="B91:X91">B18+B26+B61+B33+B41+B52+B46</f>
        <v>1396</v>
      </c>
      <c r="C91" s="23">
        <f t="shared" si="22"/>
        <v>814.8</v>
      </c>
      <c r="D91" s="23">
        <f t="shared" si="22"/>
        <v>0</v>
      </c>
      <c r="E91" s="23">
        <f t="shared" si="22"/>
        <v>77.6</v>
      </c>
      <c r="F91" s="23">
        <f t="shared" si="22"/>
        <v>43.7</v>
      </c>
      <c r="G91" s="23">
        <f t="shared" si="22"/>
        <v>33</v>
      </c>
      <c r="H91" s="23">
        <f t="shared" si="22"/>
        <v>34.3</v>
      </c>
      <c r="I91" s="23">
        <f t="shared" si="22"/>
        <v>247.6</v>
      </c>
      <c r="J91" s="23">
        <f t="shared" si="22"/>
        <v>190</v>
      </c>
      <c r="K91" s="23">
        <f t="shared" si="22"/>
        <v>149</v>
      </c>
      <c r="L91" s="23">
        <f t="shared" si="22"/>
        <v>0</v>
      </c>
      <c r="M91" s="23">
        <f t="shared" si="22"/>
        <v>382.9</v>
      </c>
      <c r="N91" s="23">
        <f t="shared" si="22"/>
        <v>0</v>
      </c>
      <c r="O91" s="23">
        <f t="shared" si="22"/>
        <v>131.4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44.4</v>
      </c>
      <c r="T91" s="23">
        <f t="shared" si="22"/>
        <v>23.4</v>
      </c>
      <c r="U91" s="23">
        <f t="shared" si="22"/>
        <v>0</v>
      </c>
      <c r="V91" s="23">
        <f t="shared" si="22"/>
        <v>0</v>
      </c>
      <c r="W91" s="23">
        <f t="shared" si="22"/>
        <v>35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1392.3000000000002</v>
      </c>
      <c r="AE91" s="28">
        <f>B91+C91-AD91</f>
        <v>818.5</v>
      </c>
    </row>
    <row r="92" spans="1:31" ht="15.75">
      <c r="A92" s="3" t="s">
        <v>17</v>
      </c>
      <c r="B92" s="23">
        <f aca="true" t="shared" si="23" ref="B92:AB92">B20+B28+B47+B35+B54+B13</f>
        <v>1012.9000000000001</v>
      </c>
      <c r="C92" s="23">
        <f t="shared" si="23"/>
        <v>706.1</v>
      </c>
      <c r="D92" s="23">
        <f t="shared" si="23"/>
        <v>36</v>
      </c>
      <c r="E92" s="23">
        <f t="shared" si="23"/>
        <v>238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114.4</v>
      </c>
      <c r="J92" s="23">
        <f t="shared" si="23"/>
        <v>0</v>
      </c>
      <c r="K92" s="23">
        <f t="shared" si="23"/>
        <v>3.8</v>
      </c>
      <c r="L92" s="23">
        <f t="shared" si="23"/>
        <v>0</v>
      </c>
      <c r="M92" s="23">
        <f t="shared" si="23"/>
        <v>108.1</v>
      </c>
      <c r="N92" s="23">
        <f t="shared" si="23"/>
        <v>14.2</v>
      </c>
      <c r="O92" s="23">
        <f t="shared" si="23"/>
        <v>257</v>
      </c>
      <c r="P92" s="23">
        <f t="shared" si="23"/>
        <v>0</v>
      </c>
      <c r="Q92" s="23">
        <f t="shared" si="23"/>
        <v>19.1</v>
      </c>
      <c r="R92" s="23">
        <f t="shared" si="23"/>
        <v>0</v>
      </c>
      <c r="S92" s="23">
        <f t="shared" si="23"/>
        <v>99.9</v>
      </c>
      <c r="T92" s="23">
        <f t="shared" si="23"/>
        <v>6</v>
      </c>
      <c r="U92" s="23">
        <f t="shared" si="23"/>
        <v>8.7</v>
      </c>
      <c r="V92" s="23">
        <f t="shared" si="23"/>
        <v>4.7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909.9000000000001</v>
      </c>
      <c r="AE92" s="28">
        <f>B92+C92-AD92</f>
        <v>809.0999999999999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>
        <f>AD87-AD88-AD89-AD90-AD91-AD92</f>
        <v>6476.700000000001</v>
      </c>
      <c r="AE93" s="2">
        <f>AE87-AE88-AE89-AE90-AE91-AE92</f>
        <v>15677.50000000001</v>
      </c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1366.8999999999999</v>
      </c>
      <c r="E96" s="54">
        <f aca="true" t="shared" si="24" ref="E96:Y96">E87+D96</f>
        <v>2039.7999999999997</v>
      </c>
      <c r="F96" s="54">
        <f t="shared" si="24"/>
        <v>2197.7</v>
      </c>
      <c r="G96" s="54">
        <f t="shared" si="24"/>
        <v>2523.2</v>
      </c>
      <c r="H96" s="54">
        <f t="shared" si="24"/>
        <v>3090.8999999999996</v>
      </c>
      <c r="I96" s="54">
        <f t="shared" si="24"/>
        <v>4125.5</v>
      </c>
      <c r="J96" s="54">
        <f t="shared" si="24"/>
        <v>4317.8</v>
      </c>
      <c r="K96" s="54">
        <f t="shared" si="24"/>
        <v>4638.400000000001</v>
      </c>
      <c r="L96" s="54">
        <f t="shared" si="24"/>
        <v>4926.200000000001</v>
      </c>
      <c r="M96" s="54">
        <f t="shared" si="24"/>
        <v>22863.4</v>
      </c>
      <c r="N96" s="54">
        <f t="shared" si="24"/>
        <v>23134.600000000002</v>
      </c>
      <c r="O96" s="54">
        <f t="shared" si="24"/>
        <v>23916.2</v>
      </c>
      <c r="P96" s="54">
        <f t="shared" si="24"/>
        <v>24273.7</v>
      </c>
      <c r="Q96" s="54">
        <f t="shared" si="24"/>
        <v>24494.9</v>
      </c>
      <c r="R96" s="54">
        <f t="shared" si="24"/>
        <v>24948.300000000003</v>
      </c>
      <c r="S96" s="54">
        <f t="shared" si="24"/>
        <v>25411.4</v>
      </c>
      <c r="T96" s="54">
        <f t="shared" si="24"/>
        <v>25992</v>
      </c>
      <c r="U96" s="54">
        <f t="shared" si="24"/>
        <v>26476.3</v>
      </c>
      <c r="V96" s="54">
        <f t="shared" si="24"/>
        <v>26800.899999999998</v>
      </c>
      <c r="W96" s="54">
        <f t="shared" si="24"/>
        <v>27137.499999999996</v>
      </c>
      <c r="X96" s="54">
        <f t="shared" si="24"/>
        <v>27546.899999999998</v>
      </c>
      <c r="Y96" s="54">
        <f t="shared" si="24"/>
        <v>37645.1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65" sqref="D65:F6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26</v>
      </c>
      <c r="U4" s="8">
        <v>27</v>
      </c>
      <c r="V4" s="19">
        <v>28</v>
      </c>
      <c r="W4" s="19">
        <v>29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32498.8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22237.2</v>
      </c>
      <c r="N6" s="47"/>
      <c r="O6" s="47"/>
      <c r="P6" s="47"/>
      <c r="Q6" s="47"/>
      <c r="R6" s="47"/>
      <c r="S6" s="48"/>
      <c r="T6" s="48"/>
      <c r="U6" s="47"/>
      <c r="V6" s="48">
        <v>9441.9</v>
      </c>
      <c r="W6" s="48">
        <v>819.7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9731.899999999998</v>
      </c>
      <c r="C8" s="41">
        <v>0</v>
      </c>
      <c r="D8" s="44">
        <v>491.8</v>
      </c>
      <c r="E8" s="56">
        <v>256.2</v>
      </c>
      <c r="F8" s="56">
        <v>742.8</v>
      </c>
      <c r="G8" s="56">
        <v>548.9</v>
      </c>
      <c r="H8" s="56">
        <v>460.5</v>
      </c>
      <c r="I8" s="56">
        <v>1165.6</v>
      </c>
      <c r="J8" s="57">
        <v>272</v>
      </c>
      <c r="K8" s="56">
        <v>205.8</v>
      </c>
      <c r="L8" s="56">
        <v>223.8</v>
      </c>
      <c r="M8" s="56">
        <v>195.8</v>
      </c>
      <c r="N8" s="56">
        <v>396.9</v>
      </c>
      <c r="O8" s="56">
        <v>616.7</v>
      </c>
      <c r="P8" s="56">
        <v>268.8</v>
      </c>
      <c r="Q8" s="56">
        <v>479.9</v>
      </c>
      <c r="R8" s="56">
        <v>405.8</v>
      </c>
      <c r="S8" s="58">
        <v>469.4</v>
      </c>
      <c r="T8" s="58">
        <v>920.9</v>
      </c>
      <c r="U8" s="56">
        <v>291.6</v>
      </c>
      <c r="V8" s="57">
        <v>323.9</v>
      </c>
      <c r="W8" s="57">
        <v>994.8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B10+B15+B23+B31+B45+B50+B51+B58+B59+B68+B69+B84+B72+B77+B79+B78+B66+B85+B86+B87+B67+B38+B88</f>
        <v>43413.000000000015</v>
      </c>
      <c r="C9" s="25">
        <f>C10+C15+C23+C31+C45+C50+C51+C58+C59+C68+C69+C84+C72+C77+C79+C78+C66+C85+C86+C87+C67+C38+C88</f>
        <v>30051.699999999993</v>
      </c>
      <c r="D9" s="25">
        <f>D10+D15+D23+D31+D45+D50+D51+D58+D59+D68+D69+D84+D72+D77+D79+D78+D66+D85+D86+D87+D67+D38+D88</f>
        <v>491.8</v>
      </c>
      <c r="E9" s="25">
        <f aca="true" t="shared" si="0" ref="E9:W9">E10+E15+E23+E31+E45+E50+E51+E58+E59+E68+E69+E84+E72+E77+E79+E78+E66+E85+E86+E87+E67+E38+E88</f>
        <v>256.2</v>
      </c>
      <c r="F9" s="25">
        <f t="shared" si="0"/>
        <v>742.8</v>
      </c>
      <c r="G9" s="25">
        <f t="shared" si="0"/>
        <v>548.9</v>
      </c>
      <c r="H9" s="25">
        <f t="shared" si="0"/>
        <v>460.50000000000006</v>
      </c>
      <c r="I9" s="25">
        <f t="shared" si="0"/>
        <v>1165.6</v>
      </c>
      <c r="J9" s="25">
        <f t="shared" si="0"/>
        <v>272</v>
      </c>
      <c r="K9" s="25">
        <f t="shared" si="0"/>
        <v>205.60000000000002</v>
      </c>
      <c r="L9" s="25">
        <f t="shared" si="0"/>
        <v>223.90000000000003</v>
      </c>
      <c r="M9" s="25">
        <f t="shared" si="0"/>
        <v>18232.699999999997</v>
      </c>
      <c r="N9" s="25">
        <f t="shared" si="0"/>
        <v>407.5</v>
      </c>
      <c r="O9" s="25">
        <f t="shared" si="0"/>
        <v>616.7</v>
      </c>
      <c r="P9" s="25">
        <f t="shared" si="0"/>
        <v>555.4000000000001</v>
      </c>
      <c r="Q9" s="25">
        <f t="shared" si="0"/>
        <v>539.3000000000001</v>
      </c>
      <c r="R9" s="25">
        <f t="shared" si="0"/>
        <v>2369.4</v>
      </c>
      <c r="S9" s="25">
        <f t="shared" si="0"/>
        <v>2349.6</v>
      </c>
      <c r="T9" s="25">
        <f t="shared" si="0"/>
        <v>920.9</v>
      </c>
      <c r="U9" s="25">
        <f t="shared" si="0"/>
        <v>291.6</v>
      </c>
      <c r="V9" s="25">
        <f t="shared" si="0"/>
        <v>9765.800000000003</v>
      </c>
      <c r="W9" s="25">
        <f t="shared" si="0"/>
        <v>1814.5</v>
      </c>
      <c r="X9" s="25"/>
      <c r="Y9" s="25"/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42230.700000000004</v>
      </c>
      <c r="AE9" s="51">
        <f>AE10+AE15+AE23+AE31+AE45+AE50+AE51+AE58+AE59+AE68+AE69+AE72+AE84+AE77+AE79+AE78+AE66+AE85+AE87+AE86+AE67+AE38+AE88</f>
        <v>31234</v>
      </c>
      <c r="AG9" s="50"/>
    </row>
    <row r="10" spans="1:31" ht="15.75">
      <c r="A10" s="4" t="s">
        <v>4</v>
      </c>
      <c r="B10" s="23">
        <v>3513</v>
      </c>
      <c r="C10" s="23">
        <v>1697.6</v>
      </c>
      <c r="D10" s="23"/>
      <c r="E10" s="23">
        <v>16.7</v>
      </c>
      <c r="F10" s="23">
        <v>19.9</v>
      </c>
      <c r="G10" s="23">
        <v>71.1</v>
      </c>
      <c r="H10" s="23">
        <v>15.6</v>
      </c>
      <c r="I10" s="23"/>
      <c r="J10" s="26"/>
      <c r="K10" s="23"/>
      <c r="L10" s="23">
        <v>2.8</v>
      </c>
      <c r="M10" s="23">
        <v>1359.9</v>
      </c>
      <c r="N10" s="23">
        <v>16</v>
      </c>
      <c r="O10" s="28"/>
      <c r="P10" s="23">
        <v>69.8</v>
      </c>
      <c r="Q10" s="23">
        <v>67.1</v>
      </c>
      <c r="R10" s="23">
        <v>1.1</v>
      </c>
      <c r="S10" s="27">
        <v>7.5</v>
      </c>
      <c r="T10" s="27"/>
      <c r="U10" s="27">
        <v>7.3</v>
      </c>
      <c r="V10" s="23">
        <v>1481.4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3136.2</v>
      </c>
      <c r="AE10" s="28">
        <f>B10+C10-AD10</f>
        <v>2074.4000000000005</v>
      </c>
    </row>
    <row r="11" spans="1:31" ht="15.75">
      <c r="A11" s="3" t="s">
        <v>5</v>
      </c>
      <c r="B11" s="23">
        <f>3194.4+22.8-10.8</f>
        <v>3206.4</v>
      </c>
      <c r="C11" s="23">
        <v>535.4</v>
      </c>
      <c r="D11" s="23"/>
      <c r="E11" s="23">
        <v>12.2</v>
      </c>
      <c r="F11" s="23"/>
      <c r="G11" s="23">
        <v>71.1</v>
      </c>
      <c r="H11" s="23"/>
      <c r="I11" s="23"/>
      <c r="J11" s="27"/>
      <c r="K11" s="23"/>
      <c r="L11" s="23"/>
      <c r="M11" s="23">
        <v>1349.8</v>
      </c>
      <c r="N11" s="23"/>
      <c r="O11" s="28"/>
      <c r="P11" s="23"/>
      <c r="Q11" s="23">
        <v>3.1</v>
      </c>
      <c r="R11" s="23"/>
      <c r="S11" s="27"/>
      <c r="T11" s="27"/>
      <c r="U11" s="27"/>
      <c r="V11" s="23">
        <v>1481.4</v>
      </c>
      <c r="W11" s="27"/>
      <c r="X11" s="27"/>
      <c r="Y11" s="27"/>
      <c r="Z11" s="23"/>
      <c r="AA11" s="23"/>
      <c r="AB11" s="23"/>
      <c r="AC11" s="23"/>
      <c r="AD11" s="23">
        <f t="shared" si="1"/>
        <v>2917.6</v>
      </c>
      <c r="AE11" s="28">
        <f>B11+C11-AD11</f>
        <v>824.2000000000003</v>
      </c>
    </row>
    <row r="12" spans="1:31" ht="15.75">
      <c r="A12" s="3" t="s">
        <v>2</v>
      </c>
      <c r="B12" s="37">
        <v>48</v>
      </c>
      <c r="C12" s="23">
        <v>216.6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10.1</v>
      </c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10.1</v>
      </c>
      <c r="AE12" s="28">
        <f>B12+C12-AD12</f>
        <v>254.50000000000003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258.5999999999999</v>
      </c>
      <c r="C14" s="23">
        <f t="shared" si="2"/>
        <v>945.5999999999998</v>
      </c>
      <c r="D14" s="23">
        <f t="shared" si="2"/>
        <v>0</v>
      </c>
      <c r="E14" s="23">
        <f t="shared" si="2"/>
        <v>4.5</v>
      </c>
      <c r="F14" s="23">
        <f t="shared" si="2"/>
        <v>19.9</v>
      </c>
      <c r="G14" s="23">
        <f t="shared" si="2"/>
        <v>0</v>
      </c>
      <c r="H14" s="23">
        <f t="shared" si="2"/>
        <v>15.6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2.8</v>
      </c>
      <c r="M14" s="23">
        <f t="shared" si="2"/>
        <v>1.3677947663381929E-13</v>
      </c>
      <c r="N14" s="23">
        <f t="shared" si="2"/>
        <v>16</v>
      </c>
      <c r="O14" s="23">
        <f t="shared" si="2"/>
        <v>0</v>
      </c>
      <c r="P14" s="23">
        <f t="shared" si="2"/>
        <v>69.8</v>
      </c>
      <c r="Q14" s="23">
        <f t="shared" si="2"/>
        <v>63.99999999999999</v>
      </c>
      <c r="R14" s="23">
        <f t="shared" si="2"/>
        <v>1.1</v>
      </c>
      <c r="S14" s="23">
        <f t="shared" si="2"/>
        <v>7.5</v>
      </c>
      <c r="T14" s="23">
        <f t="shared" si="2"/>
        <v>0</v>
      </c>
      <c r="U14" s="23">
        <f t="shared" si="2"/>
        <v>7.3</v>
      </c>
      <c r="V14" s="23">
        <f t="shared" si="2"/>
        <v>0</v>
      </c>
      <c r="W14" s="23">
        <f t="shared" si="2"/>
        <v>0</v>
      </c>
      <c r="X14" s="23"/>
      <c r="Y14" s="23"/>
      <c r="Z14" s="23"/>
      <c r="AA14" s="23">
        <f>AA10-AA11-AA12-AA13</f>
        <v>0</v>
      </c>
      <c r="AB14" s="23">
        <f>AB10-AB11-AB12-AB13</f>
        <v>0</v>
      </c>
      <c r="AC14" s="23"/>
      <c r="AD14" s="28">
        <f t="shared" si="1"/>
        <v>208.50000000000014</v>
      </c>
      <c r="AE14" s="28">
        <f>AE10-AE11-AE12-AE13</f>
        <v>995.7000000000003</v>
      </c>
    </row>
    <row r="15" spans="1:31" ht="15" customHeight="1">
      <c r="A15" s="4" t="s">
        <v>6</v>
      </c>
      <c r="B15" s="23">
        <f>13542.1+331.7+47.4</f>
        <v>13921.2</v>
      </c>
      <c r="C15" s="23">
        <v>6541.2</v>
      </c>
      <c r="D15" s="45">
        <v>396.8</v>
      </c>
      <c r="E15" s="45">
        <v>189.5</v>
      </c>
      <c r="F15" s="23">
        <v>580.6</v>
      </c>
      <c r="G15" s="23">
        <v>441.3</v>
      </c>
      <c r="H15" s="23">
        <v>439.3</v>
      </c>
      <c r="I15" s="23">
        <v>1165.6</v>
      </c>
      <c r="J15" s="27">
        <v>272</v>
      </c>
      <c r="K15" s="23">
        <v>6.5</v>
      </c>
      <c r="L15" s="23"/>
      <c r="M15" s="23">
        <v>6260.1</v>
      </c>
      <c r="N15" s="23">
        <v>40.4</v>
      </c>
      <c r="O15" s="28"/>
      <c r="P15" s="23">
        <v>24</v>
      </c>
      <c r="Q15" s="28">
        <v>66.2</v>
      </c>
      <c r="R15" s="23">
        <v>184.1</v>
      </c>
      <c r="S15" s="27">
        <v>2142.1</v>
      </c>
      <c r="T15" s="27">
        <v>717.9</v>
      </c>
      <c r="U15" s="27">
        <v>245.1</v>
      </c>
      <c r="V15" s="23">
        <v>2929.1</v>
      </c>
      <c r="W15" s="27">
        <v>594.8</v>
      </c>
      <c r="X15" s="27"/>
      <c r="Y15" s="27"/>
      <c r="Z15" s="23"/>
      <c r="AA15" s="23"/>
      <c r="AB15" s="23"/>
      <c r="AC15" s="23"/>
      <c r="AD15" s="28">
        <f t="shared" si="1"/>
        <v>16695.4</v>
      </c>
      <c r="AE15" s="28">
        <f aca="true" t="shared" si="3" ref="AE15:AE29">B15+C15-AD15</f>
        <v>3767</v>
      </c>
    </row>
    <row r="16" spans="1:32" ht="15.75">
      <c r="A16" s="3" t="s">
        <v>5</v>
      </c>
      <c r="B16" s="23">
        <f>12238.9+331.7+74.8</f>
        <v>12645.4</v>
      </c>
      <c r="C16" s="23">
        <v>5051.1</v>
      </c>
      <c r="D16" s="23">
        <v>396.8</v>
      </c>
      <c r="E16" s="23">
        <v>189.5</v>
      </c>
      <c r="F16" s="23">
        <v>580.6</v>
      </c>
      <c r="G16" s="23">
        <v>441.3</v>
      </c>
      <c r="H16" s="23">
        <v>439.3</v>
      </c>
      <c r="I16" s="23">
        <v>1165.6</v>
      </c>
      <c r="J16" s="27">
        <v>272</v>
      </c>
      <c r="K16" s="23">
        <v>6.5</v>
      </c>
      <c r="L16" s="23"/>
      <c r="M16" s="23">
        <v>5281</v>
      </c>
      <c r="N16" s="23"/>
      <c r="O16" s="28"/>
      <c r="P16" s="23">
        <v>1</v>
      </c>
      <c r="Q16" s="28"/>
      <c r="R16" s="23"/>
      <c r="S16" s="27">
        <v>2140.4</v>
      </c>
      <c r="T16" s="27">
        <v>717.9</v>
      </c>
      <c r="U16" s="27">
        <v>245.1</v>
      </c>
      <c r="V16" s="23">
        <v>2929.1</v>
      </c>
      <c r="W16" s="27">
        <v>533.3</v>
      </c>
      <c r="X16" s="27"/>
      <c r="Y16" s="27"/>
      <c r="Z16" s="23"/>
      <c r="AA16" s="23"/>
      <c r="AB16" s="23"/>
      <c r="AC16" s="23"/>
      <c r="AD16" s="28">
        <f t="shared" si="1"/>
        <v>15339.4</v>
      </c>
      <c r="AE16" s="28">
        <f t="shared" si="3"/>
        <v>2357.1000000000004</v>
      </c>
      <c r="AF16" s="6"/>
    </row>
    <row r="17" spans="1:31" ht="15.75">
      <c r="A17" s="3" t="s">
        <v>3</v>
      </c>
      <c r="B17" s="23">
        <v>1</v>
      </c>
      <c r="C17" s="23">
        <v>10.7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11.7</v>
      </c>
    </row>
    <row r="18" spans="1:31" ht="15.75">
      <c r="A18" s="3" t="s">
        <v>1</v>
      </c>
      <c r="B18" s="23">
        <f>617-19.2-3.3</f>
        <v>594.5</v>
      </c>
      <c r="C18" s="23">
        <v>306.3</v>
      </c>
      <c r="D18" s="23"/>
      <c r="E18" s="23"/>
      <c r="F18" s="23"/>
      <c r="G18" s="23"/>
      <c r="H18" s="23"/>
      <c r="I18" s="23"/>
      <c r="J18" s="27"/>
      <c r="K18" s="23"/>
      <c r="L18" s="23"/>
      <c r="M18" s="23">
        <v>522.6</v>
      </c>
      <c r="N18" s="23"/>
      <c r="O18" s="28"/>
      <c r="P18" s="23">
        <v>10.4</v>
      </c>
      <c r="Q18" s="28"/>
      <c r="R18" s="23">
        <v>128.7</v>
      </c>
      <c r="S18" s="27">
        <v>1.7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663.4000000000001</v>
      </c>
      <c r="AE18" s="28">
        <f t="shared" si="3"/>
        <v>237.39999999999986</v>
      </c>
    </row>
    <row r="19" spans="1:31" ht="15.75">
      <c r="A19" s="3" t="s">
        <v>2</v>
      </c>
      <c r="B19" s="23">
        <f>375.2+14.7-0.1</f>
        <v>389.79999999999995</v>
      </c>
      <c r="C19" s="23">
        <v>497.8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456.5</v>
      </c>
      <c r="N19" s="23"/>
      <c r="O19" s="28"/>
      <c r="P19" s="23">
        <v>8.7</v>
      </c>
      <c r="Q19" s="28">
        <v>16.2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481.4</v>
      </c>
      <c r="AE19" s="28">
        <f t="shared" si="3"/>
        <v>406.19999999999993</v>
      </c>
    </row>
    <row r="20" spans="1:31" ht="15.75">
      <c r="A20" s="3" t="s">
        <v>17</v>
      </c>
      <c r="B20" s="23">
        <v>8.5</v>
      </c>
      <c r="C20" s="23">
        <f>51.5-31.7</f>
        <v>19.8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28.3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>B15-B16-B17-B18-B19-B20-B21</f>
        <v>282.00000000000114</v>
      </c>
      <c r="C22" s="23">
        <f>C15-C16-C17-C18-C19-C20-C21</f>
        <v>655.4999999999995</v>
      </c>
      <c r="D22" s="23">
        <f aca="true" t="shared" si="4" ref="D22:K22">D15-D16-D17-D18-D19-D20-D21</f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aca="true" t="shared" si="5" ref="L22:AC22">L15-L16-L17-L18-L19-L20-L21</f>
        <v>0</v>
      </c>
      <c r="M22" s="23">
        <f t="shared" si="5"/>
        <v>3.410605131648481E-13</v>
      </c>
      <c r="N22" s="23">
        <f t="shared" si="5"/>
        <v>40.4</v>
      </c>
      <c r="O22" s="23">
        <f t="shared" si="5"/>
        <v>0</v>
      </c>
      <c r="P22" s="23">
        <f t="shared" si="5"/>
        <v>3.9000000000000004</v>
      </c>
      <c r="Q22" s="23">
        <f t="shared" si="5"/>
        <v>50</v>
      </c>
      <c r="R22" s="23">
        <f t="shared" si="5"/>
        <v>55.400000000000006</v>
      </c>
      <c r="S22" s="23">
        <f t="shared" si="5"/>
        <v>-1.8185453143360064E-13</v>
      </c>
      <c r="T22" s="23">
        <f t="shared" si="5"/>
        <v>0</v>
      </c>
      <c r="U22" s="23">
        <f t="shared" si="5"/>
        <v>0</v>
      </c>
      <c r="V22" s="23">
        <f t="shared" si="5"/>
        <v>0</v>
      </c>
      <c r="W22" s="23">
        <f t="shared" si="5"/>
        <v>61.5</v>
      </c>
      <c r="X22" s="23">
        <f t="shared" si="5"/>
        <v>0</v>
      </c>
      <c r="Y22" s="23">
        <f t="shared" si="5"/>
        <v>0</v>
      </c>
      <c r="Z22" s="23">
        <f t="shared" si="5"/>
        <v>0</v>
      </c>
      <c r="AA22" s="23">
        <f t="shared" si="5"/>
        <v>0</v>
      </c>
      <c r="AB22" s="23">
        <f t="shared" si="5"/>
        <v>0</v>
      </c>
      <c r="AC22" s="23">
        <f t="shared" si="5"/>
        <v>0</v>
      </c>
      <c r="AD22" s="28">
        <f t="shared" si="1"/>
        <v>211.20000000000016</v>
      </c>
      <c r="AE22" s="28">
        <f t="shared" si="3"/>
        <v>726.3000000000005</v>
      </c>
    </row>
    <row r="23" spans="1:31" ht="15" customHeight="1">
      <c r="A23" s="4" t="s">
        <v>7</v>
      </c>
      <c r="B23" s="23">
        <f>15928.9-0.1</f>
        <v>15928.8</v>
      </c>
      <c r="C23" s="23">
        <v>6950.3</v>
      </c>
      <c r="D23" s="23"/>
      <c r="E23" s="23"/>
      <c r="F23" s="23"/>
      <c r="G23" s="23"/>
      <c r="H23" s="23"/>
      <c r="I23" s="23"/>
      <c r="J23" s="27"/>
      <c r="K23" s="23"/>
      <c r="L23" s="23"/>
      <c r="M23" s="23">
        <v>7247.6</v>
      </c>
      <c r="N23" s="23">
        <v>102.9</v>
      </c>
      <c r="O23" s="28"/>
      <c r="P23" s="23">
        <v>275.7</v>
      </c>
      <c r="Q23" s="28">
        <v>91</v>
      </c>
      <c r="R23" s="28">
        <v>1867.4</v>
      </c>
      <c r="S23" s="27"/>
      <c r="T23" s="27"/>
      <c r="U23" s="27"/>
      <c r="V23" s="23">
        <v>4041.7</v>
      </c>
      <c r="W23" s="27">
        <v>1069.7</v>
      </c>
      <c r="X23" s="27"/>
      <c r="Y23" s="27"/>
      <c r="Z23" s="23"/>
      <c r="AA23" s="23"/>
      <c r="AB23" s="23"/>
      <c r="AC23" s="23"/>
      <c r="AD23" s="28">
        <f t="shared" si="1"/>
        <v>14696</v>
      </c>
      <c r="AE23" s="28">
        <f t="shared" si="3"/>
        <v>8183.0999999999985</v>
      </c>
    </row>
    <row r="24" spans="1:32" ht="15.75">
      <c r="A24" s="3" t="s">
        <v>5</v>
      </c>
      <c r="B24" s="23">
        <v>13337.4</v>
      </c>
      <c r="C24" s="23">
        <v>2118.3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6051.8</v>
      </c>
      <c r="N24" s="23"/>
      <c r="O24" s="28"/>
      <c r="P24" s="23"/>
      <c r="Q24" s="28"/>
      <c r="R24" s="23">
        <v>1663.6</v>
      </c>
      <c r="S24" s="27"/>
      <c r="T24" s="27"/>
      <c r="U24" s="27"/>
      <c r="V24" s="23">
        <v>3936.9</v>
      </c>
      <c r="W24" s="27">
        <v>1069.7</v>
      </c>
      <c r="X24" s="27"/>
      <c r="Y24" s="27"/>
      <c r="Z24" s="23"/>
      <c r="AA24" s="23"/>
      <c r="AB24" s="23"/>
      <c r="AC24" s="23"/>
      <c r="AD24" s="28">
        <f t="shared" si="1"/>
        <v>12722</v>
      </c>
      <c r="AE24" s="28">
        <f t="shared" si="3"/>
        <v>2733.7000000000007</v>
      </c>
      <c r="AF24" s="6"/>
    </row>
    <row r="25" spans="1:31" ht="15.75">
      <c r="A25" s="3" t="s">
        <v>3</v>
      </c>
      <c r="B25" s="23">
        <f>607-0.3</f>
        <v>606.7</v>
      </c>
      <c r="C25" s="23">
        <v>2194.9</v>
      </c>
      <c r="D25" s="23"/>
      <c r="E25" s="23"/>
      <c r="F25" s="23"/>
      <c r="G25" s="23"/>
      <c r="H25" s="23"/>
      <c r="I25" s="23"/>
      <c r="J25" s="27"/>
      <c r="K25" s="23"/>
      <c r="L25" s="23"/>
      <c r="M25" s="23">
        <v>354.3</v>
      </c>
      <c r="N25" s="23">
        <v>8.9</v>
      </c>
      <c r="O25" s="28"/>
      <c r="P25" s="23">
        <v>29.5</v>
      </c>
      <c r="Q25" s="28">
        <v>20</v>
      </c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412.7</v>
      </c>
      <c r="AE25" s="28">
        <f t="shared" si="3"/>
        <v>2388.9000000000005</v>
      </c>
    </row>
    <row r="26" spans="1:31" ht="15.75">
      <c r="A26" s="3" t="s">
        <v>1</v>
      </c>
      <c r="B26" s="23">
        <v>225.3</v>
      </c>
      <c r="C26" s="23">
        <v>426.8</v>
      </c>
      <c r="D26" s="23"/>
      <c r="E26" s="23"/>
      <c r="F26" s="23"/>
      <c r="G26" s="23"/>
      <c r="H26" s="23"/>
      <c r="I26" s="23"/>
      <c r="J26" s="27"/>
      <c r="K26" s="23"/>
      <c r="L26" s="23"/>
      <c r="M26" s="23">
        <v>293.6</v>
      </c>
      <c r="N26" s="23"/>
      <c r="O26" s="28"/>
      <c r="P26" s="23">
        <v>15.3</v>
      </c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308.90000000000003</v>
      </c>
      <c r="AE26" s="28">
        <f t="shared" si="3"/>
        <v>343.2</v>
      </c>
    </row>
    <row r="27" spans="1:31" ht="15.75">
      <c r="A27" s="3" t="s">
        <v>2</v>
      </c>
      <c r="B27" s="23">
        <f>669.9+13.1</f>
        <v>683</v>
      </c>
      <c r="C27" s="23">
        <v>619.2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297.9</v>
      </c>
      <c r="N27" s="23">
        <v>1.5</v>
      </c>
      <c r="O27" s="28"/>
      <c r="P27" s="23">
        <v>191.9</v>
      </c>
      <c r="Q27" s="28">
        <v>21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512.3</v>
      </c>
      <c r="AE27" s="28">
        <f t="shared" si="3"/>
        <v>789.9000000000001</v>
      </c>
    </row>
    <row r="28" spans="1:31" ht="15.75">
      <c r="A28" s="3" t="s">
        <v>17</v>
      </c>
      <c r="B28" s="23">
        <f>115.8-4</f>
        <v>111.8</v>
      </c>
      <c r="C28" s="23">
        <v>29.8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141.6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964.5999999999997</v>
      </c>
      <c r="C30" s="23">
        <f>C23-C24-C25-C26-C27-C28-C29</f>
        <v>1561.2999999999997</v>
      </c>
      <c r="D30" s="23"/>
      <c r="E30" s="23"/>
      <c r="F30" s="23">
        <f aca="true" t="shared" si="6" ref="F30:AC30">F23-F24-F25-F26-F27-F28-F29</f>
        <v>0</v>
      </c>
      <c r="G30" s="23">
        <f t="shared" si="6"/>
        <v>0</v>
      </c>
      <c r="H30" s="23">
        <f t="shared" si="6"/>
        <v>0</v>
      </c>
      <c r="I30" s="23">
        <f t="shared" si="6"/>
        <v>0</v>
      </c>
      <c r="J30" s="23">
        <f t="shared" si="6"/>
        <v>0</v>
      </c>
      <c r="K30" s="23">
        <f t="shared" si="6"/>
        <v>0</v>
      </c>
      <c r="L30" s="23">
        <f t="shared" si="6"/>
        <v>0</v>
      </c>
      <c r="M30" s="23">
        <f t="shared" si="6"/>
        <v>250.00000000000023</v>
      </c>
      <c r="N30" s="23">
        <f t="shared" si="6"/>
        <v>92.5</v>
      </c>
      <c r="O30" s="23">
        <f t="shared" si="6"/>
        <v>0</v>
      </c>
      <c r="P30" s="23">
        <f t="shared" si="6"/>
        <v>38.99999999999997</v>
      </c>
      <c r="Q30" s="23">
        <f t="shared" si="6"/>
        <v>50</v>
      </c>
      <c r="R30" s="23">
        <f t="shared" si="6"/>
        <v>203.80000000000018</v>
      </c>
      <c r="S30" s="23">
        <f t="shared" si="6"/>
        <v>0</v>
      </c>
      <c r="T30" s="23">
        <f t="shared" si="6"/>
        <v>0</v>
      </c>
      <c r="U30" s="23">
        <f t="shared" si="6"/>
        <v>0</v>
      </c>
      <c r="V30" s="23">
        <f t="shared" si="6"/>
        <v>104.79999999999973</v>
      </c>
      <c r="W30" s="23">
        <f t="shared" si="6"/>
        <v>0</v>
      </c>
      <c r="X30" s="23">
        <f t="shared" si="6"/>
        <v>0</v>
      </c>
      <c r="Y30" s="23">
        <f t="shared" si="6"/>
        <v>0</v>
      </c>
      <c r="Z30" s="23">
        <f t="shared" si="6"/>
        <v>0</v>
      </c>
      <c r="AA30" s="23">
        <f t="shared" si="6"/>
        <v>0</v>
      </c>
      <c r="AB30" s="23">
        <f t="shared" si="6"/>
        <v>0</v>
      </c>
      <c r="AC30" s="23">
        <f t="shared" si="6"/>
        <v>0</v>
      </c>
      <c r="AD30" s="28">
        <f t="shared" si="1"/>
        <v>740.1000000000001</v>
      </c>
      <c r="AE30" s="28">
        <f>AE23-AE24-AE25-AE26-AE27-AE28-AE29</f>
        <v>1785.7999999999975</v>
      </c>
    </row>
    <row r="31" spans="1:31" ht="15" customHeight="1">
      <c r="A31" s="4" t="s">
        <v>8</v>
      </c>
      <c r="B31" s="23">
        <f>127-7.9</f>
        <v>119.1</v>
      </c>
      <c r="C31" s="23">
        <v>307</v>
      </c>
      <c r="D31" s="23"/>
      <c r="E31" s="23"/>
      <c r="F31" s="23"/>
      <c r="G31" s="23"/>
      <c r="H31" s="23"/>
      <c r="I31" s="23"/>
      <c r="J31" s="27"/>
      <c r="K31" s="23"/>
      <c r="L31" s="23"/>
      <c r="M31" s="23">
        <v>121</v>
      </c>
      <c r="N31" s="23">
        <v>60.8</v>
      </c>
      <c r="O31" s="28"/>
      <c r="P31" s="23">
        <v>143.6</v>
      </c>
      <c r="Q31" s="28">
        <v>30.8</v>
      </c>
      <c r="R31" s="23"/>
      <c r="S31" s="27"/>
      <c r="T31" s="27"/>
      <c r="U31" s="27"/>
      <c r="V31" s="27">
        <v>42.6</v>
      </c>
      <c r="W31" s="27"/>
      <c r="X31" s="27"/>
      <c r="Y31" s="27"/>
      <c r="Z31" s="23"/>
      <c r="AA31" s="23"/>
      <c r="AB31" s="23"/>
      <c r="AC31" s="23"/>
      <c r="AD31" s="28">
        <f t="shared" si="1"/>
        <v>398.8</v>
      </c>
      <c r="AE31" s="28">
        <f aca="true" t="shared" si="7" ref="AE31:AE36">B31+C31-AD31</f>
        <v>27.30000000000001</v>
      </c>
    </row>
    <row r="32" spans="1:31" ht="15.75">
      <c r="A32" s="3" t="s">
        <v>5</v>
      </c>
      <c r="B32" s="23">
        <f>57.2+2.5</f>
        <v>59.7</v>
      </c>
      <c r="C32" s="23">
        <v>50.6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55.4</v>
      </c>
      <c r="N32" s="23"/>
      <c r="O32" s="23"/>
      <c r="P32" s="23"/>
      <c r="Q32" s="28"/>
      <c r="R32" s="23"/>
      <c r="S32" s="27"/>
      <c r="T32" s="27"/>
      <c r="U32" s="27"/>
      <c r="V32" s="27">
        <v>42.6</v>
      </c>
      <c r="W32" s="27"/>
      <c r="X32" s="27"/>
      <c r="Y32" s="27"/>
      <c r="Z32" s="23"/>
      <c r="AA32" s="23"/>
      <c r="AB32" s="23"/>
      <c r="AC32" s="23"/>
      <c r="AD32" s="28">
        <f t="shared" si="1"/>
        <v>98</v>
      </c>
      <c r="AE32" s="28">
        <f t="shared" si="7"/>
        <v>12.300000000000011</v>
      </c>
    </row>
    <row r="33" spans="1:31" ht="15.75">
      <c r="A33" s="3" t="s">
        <v>1</v>
      </c>
      <c r="B33" s="23">
        <v>55.4</v>
      </c>
      <c r="C33" s="23">
        <v>9</v>
      </c>
      <c r="D33" s="23"/>
      <c r="E33" s="23"/>
      <c r="F33" s="23"/>
      <c r="G33" s="23"/>
      <c r="H33" s="23"/>
      <c r="I33" s="23"/>
      <c r="J33" s="27"/>
      <c r="K33" s="23"/>
      <c r="L33" s="23"/>
      <c r="M33" s="23">
        <v>64.4</v>
      </c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64.4</v>
      </c>
      <c r="AE33" s="28">
        <f t="shared" si="7"/>
        <v>0</v>
      </c>
    </row>
    <row r="34" spans="1:31" ht="15.75">
      <c r="A34" s="3" t="s">
        <v>2</v>
      </c>
      <c r="B34" s="45">
        <v>2</v>
      </c>
      <c r="C34" s="23">
        <f>7.2-2.5</f>
        <v>4.7</v>
      </c>
      <c r="D34" s="23"/>
      <c r="E34" s="23"/>
      <c r="F34" s="23"/>
      <c r="G34" s="23"/>
      <c r="H34" s="23"/>
      <c r="I34" s="23"/>
      <c r="J34" s="27"/>
      <c r="K34" s="23"/>
      <c r="L34" s="23"/>
      <c r="M34" s="23">
        <v>1.2</v>
      </c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1.2</v>
      </c>
      <c r="AE34" s="28">
        <f t="shared" si="7"/>
        <v>5.5</v>
      </c>
    </row>
    <row r="35" spans="1:31" ht="15.75">
      <c r="A35" s="3" t="s">
        <v>17</v>
      </c>
      <c r="B35" s="23">
        <v>0</v>
      </c>
      <c r="C35" s="23">
        <f>233.7-0.4-0.1</f>
        <v>233.2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>
        <v>58.9</v>
      </c>
      <c r="O35" s="28"/>
      <c r="P35" s="23">
        <v>143.6</v>
      </c>
      <c r="Q35" s="28">
        <v>30.7</v>
      </c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233.2</v>
      </c>
      <c r="AE35" s="28">
        <f t="shared" si="7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7"/>
        <v>0</v>
      </c>
    </row>
    <row r="37" spans="1:31" ht="15.75">
      <c r="A37" s="3" t="s">
        <v>26</v>
      </c>
      <c r="B37" s="23">
        <f>B31-B32-B34-B36-B35-B33</f>
        <v>1.999999999999993</v>
      </c>
      <c r="C37" s="23">
        <f>C31-C32-C34-C36-C35-C33</f>
        <v>9.5</v>
      </c>
      <c r="D37" s="23">
        <f>D31-D32-D34-D36-D35-D33</f>
        <v>0</v>
      </c>
      <c r="E37" s="23">
        <f>E31-E32-E34-E36-E35-E33</f>
        <v>0</v>
      </c>
      <c r="F37" s="23">
        <f aca="true" t="shared" si="8" ref="F37:AC37">F31-F32-F34-F36-F35-F33</f>
        <v>0</v>
      </c>
      <c r="G37" s="23">
        <f t="shared" si="8"/>
        <v>0</v>
      </c>
      <c r="H37" s="23">
        <f t="shared" si="8"/>
        <v>0</v>
      </c>
      <c r="I37" s="23">
        <f t="shared" si="8"/>
        <v>0</v>
      </c>
      <c r="J37" s="23">
        <f t="shared" si="8"/>
        <v>0</v>
      </c>
      <c r="K37" s="23">
        <f t="shared" si="8"/>
        <v>0</v>
      </c>
      <c r="L37" s="23">
        <f t="shared" si="8"/>
        <v>0</v>
      </c>
      <c r="M37" s="23">
        <f t="shared" si="8"/>
        <v>0</v>
      </c>
      <c r="N37" s="23">
        <f t="shared" si="8"/>
        <v>1.8999999999999986</v>
      </c>
      <c r="O37" s="23">
        <f t="shared" si="8"/>
        <v>0</v>
      </c>
      <c r="P37" s="23">
        <f t="shared" si="8"/>
        <v>0</v>
      </c>
      <c r="Q37" s="23">
        <f t="shared" si="8"/>
        <v>0.10000000000000142</v>
      </c>
      <c r="R37" s="23">
        <f t="shared" si="8"/>
        <v>0</v>
      </c>
      <c r="S37" s="23">
        <f t="shared" si="8"/>
        <v>0</v>
      </c>
      <c r="T37" s="23">
        <f t="shared" si="8"/>
        <v>0</v>
      </c>
      <c r="U37" s="23">
        <f t="shared" si="8"/>
        <v>0</v>
      </c>
      <c r="V37" s="23">
        <f t="shared" si="8"/>
        <v>0</v>
      </c>
      <c r="W37" s="23">
        <f t="shared" si="8"/>
        <v>0</v>
      </c>
      <c r="X37" s="23">
        <f t="shared" si="8"/>
        <v>0</v>
      </c>
      <c r="Y37" s="23">
        <f t="shared" si="8"/>
        <v>0</v>
      </c>
      <c r="Z37" s="23">
        <f t="shared" si="8"/>
        <v>0</v>
      </c>
      <c r="AA37" s="23">
        <f t="shared" si="8"/>
        <v>0</v>
      </c>
      <c r="AB37" s="23">
        <f t="shared" si="8"/>
        <v>0</v>
      </c>
      <c r="AC37" s="23">
        <f t="shared" si="8"/>
        <v>0</v>
      </c>
      <c r="AD37" s="28">
        <f t="shared" si="1"/>
        <v>2</v>
      </c>
      <c r="AE37" s="28">
        <f>AE31-AE32-AE34-AE36-AE33-AE35</f>
        <v>9.5</v>
      </c>
    </row>
    <row r="38" spans="1:31" ht="15" customHeight="1">
      <c r="A38" s="4" t="s">
        <v>35</v>
      </c>
      <c r="B38" s="23">
        <v>474.3</v>
      </c>
      <c r="C38" s="23">
        <v>138.6</v>
      </c>
      <c r="D38" s="23"/>
      <c r="E38" s="23"/>
      <c r="F38" s="23"/>
      <c r="G38" s="23">
        <v>36.5</v>
      </c>
      <c r="H38" s="23"/>
      <c r="I38" s="23"/>
      <c r="J38" s="27"/>
      <c r="K38" s="23"/>
      <c r="L38" s="23"/>
      <c r="M38" s="23">
        <v>232.6</v>
      </c>
      <c r="N38" s="23"/>
      <c r="O38" s="28"/>
      <c r="P38" s="23"/>
      <c r="Q38" s="28"/>
      <c r="R38" s="28"/>
      <c r="S38" s="27"/>
      <c r="T38" s="27"/>
      <c r="U38" s="27"/>
      <c r="V38" s="23">
        <v>183.7</v>
      </c>
      <c r="W38" s="27"/>
      <c r="X38" s="27"/>
      <c r="Y38" s="27"/>
      <c r="Z38" s="23"/>
      <c r="AA38" s="23"/>
      <c r="AB38" s="23"/>
      <c r="AC38" s="23"/>
      <c r="AD38" s="28">
        <f t="shared" si="1"/>
        <v>452.8</v>
      </c>
      <c r="AE38" s="28">
        <f aca="true" t="shared" si="9" ref="AE38:AE43">B38+C38-AD38</f>
        <v>160.09999999999997</v>
      </c>
    </row>
    <row r="39" spans="1:32" ht="15.75">
      <c r="A39" s="3" t="s">
        <v>5</v>
      </c>
      <c r="B39" s="23">
        <v>452.3</v>
      </c>
      <c r="C39" s="23">
        <v>48.8</v>
      </c>
      <c r="D39" s="23"/>
      <c r="E39" s="23"/>
      <c r="F39" s="23"/>
      <c r="G39" s="23">
        <v>36.5</v>
      </c>
      <c r="H39" s="23"/>
      <c r="I39" s="23"/>
      <c r="J39" s="27"/>
      <c r="K39" s="23"/>
      <c r="L39" s="23"/>
      <c r="M39" s="23">
        <v>228.6</v>
      </c>
      <c r="N39" s="23"/>
      <c r="O39" s="28"/>
      <c r="P39" s="23"/>
      <c r="Q39" s="28"/>
      <c r="R39" s="23"/>
      <c r="S39" s="27"/>
      <c r="T39" s="27"/>
      <c r="U39" s="27"/>
      <c r="V39" s="23">
        <v>183.7</v>
      </c>
      <c r="W39" s="27"/>
      <c r="X39" s="27"/>
      <c r="Y39" s="27"/>
      <c r="Z39" s="23"/>
      <c r="AA39" s="23"/>
      <c r="AB39" s="23"/>
      <c r="AC39" s="23"/>
      <c r="AD39" s="28">
        <f t="shared" si="1"/>
        <v>448.8</v>
      </c>
      <c r="AE39" s="28">
        <f t="shared" si="9"/>
        <v>52.30000000000001</v>
      </c>
      <c r="AF39" s="6"/>
    </row>
    <row r="40" spans="1:31" ht="15.75">
      <c r="A40" s="3" t="s">
        <v>3</v>
      </c>
      <c r="B40" s="23">
        <v>0.2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9"/>
        <v>0.2</v>
      </c>
    </row>
    <row r="41" spans="1:31" ht="15.75">
      <c r="A41" s="3" t="s">
        <v>1</v>
      </c>
      <c r="B41" s="23">
        <v>0</v>
      </c>
      <c r="C41" s="23">
        <v>1.4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9"/>
        <v>1.4</v>
      </c>
    </row>
    <row r="42" spans="1:31" ht="15.75">
      <c r="A42" s="3" t="s">
        <v>2</v>
      </c>
      <c r="B42" s="23">
        <v>2.2</v>
      </c>
      <c r="C42" s="23">
        <v>15.4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4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</v>
      </c>
      <c r="AE42" s="28">
        <f t="shared" si="9"/>
        <v>13.600000000000001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9"/>
        <v>0</v>
      </c>
    </row>
    <row r="44" spans="1:31" ht="15.75">
      <c r="A44" s="3" t="s">
        <v>26</v>
      </c>
      <c r="B44" s="23">
        <f>B38-B39-B40-B41-B42-B43</f>
        <v>19.6</v>
      </c>
      <c r="C44" s="23">
        <f>C38-C39-C40-C41-C42-C43</f>
        <v>72.99999999999999</v>
      </c>
      <c r="D44" s="23">
        <f>D38-D39-D40-D41-D42-D43</f>
        <v>0</v>
      </c>
      <c r="E44" s="23">
        <f>E38-E39-E40-E41-E42-E43</f>
        <v>0</v>
      </c>
      <c r="F44" s="23">
        <f aca="true" t="shared" si="10" ref="F44:AC44">F38-F39-F40-F41-F42-F43</f>
        <v>0</v>
      </c>
      <c r="G44" s="23">
        <f t="shared" si="10"/>
        <v>0</v>
      </c>
      <c r="H44" s="23">
        <f t="shared" si="10"/>
        <v>0</v>
      </c>
      <c r="I44" s="23">
        <f t="shared" si="10"/>
        <v>0</v>
      </c>
      <c r="J44" s="23">
        <f t="shared" si="10"/>
        <v>0</v>
      </c>
      <c r="K44" s="23">
        <f t="shared" si="10"/>
        <v>0</v>
      </c>
      <c r="L44" s="23">
        <f t="shared" si="10"/>
        <v>0</v>
      </c>
      <c r="M44" s="23">
        <f t="shared" si="10"/>
        <v>0</v>
      </c>
      <c r="N44" s="23">
        <f t="shared" si="10"/>
        <v>0</v>
      </c>
      <c r="O44" s="23">
        <f t="shared" si="10"/>
        <v>0</v>
      </c>
      <c r="P44" s="23">
        <f t="shared" si="10"/>
        <v>0</v>
      </c>
      <c r="Q44" s="23">
        <f t="shared" si="10"/>
        <v>0</v>
      </c>
      <c r="R44" s="23">
        <f t="shared" si="10"/>
        <v>0</v>
      </c>
      <c r="S44" s="23">
        <f t="shared" si="10"/>
        <v>0</v>
      </c>
      <c r="T44" s="23">
        <f t="shared" si="10"/>
        <v>0</v>
      </c>
      <c r="U44" s="23">
        <f t="shared" si="10"/>
        <v>0</v>
      </c>
      <c r="V44" s="23">
        <f t="shared" si="10"/>
        <v>0</v>
      </c>
      <c r="W44" s="23">
        <f t="shared" si="10"/>
        <v>0</v>
      </c>
      <c r="X44" s="23">
        <f t="shared" si="10"/>
        <v>0</v>
      </c>
      <c r="Y44" s="23">
        <f t="shared" si="10"/>
        <v>0</v>
      </c>
      <c r="Z44" s="23">
        <f t="shared" si="10"/>
        <v>0</v>
      </c>
      <c r="AA44" s="23">
        <f t="shared" si="10"/>
        <v>0</v>
      </c>
      <c r="AB44" s="23">
        <f t="shared" si="10"/>
        <v>0</v>
      </c>
      <c r="AC44" s="23">
        <f t="shared" si="10"/>
        <v>0</v>
      </c>
      <c r="AD44" s="28">
        <f t="shared" si="1"/>
        <v>0</v>
      </c>
      <c r="AE44" s="28">
        <f>AE38-AE39-AE40-AE41-AE42-AE43</f>
        <v>92.59999999999994</v>
      </c>
    </row>
    <row r="45" spans="1:31" ht="15" customHeight="1">
      <c r="A45" s="4" t="s">
        <v>15</v>
      </c>
      <c r="B45" s="37">
        <v>440.5</v>
      </c>
      <c r="C45" s="23">
        <v>541.6</v>
      </c>
      <c r="D45" s="23"/>
      <c r="E45" s="29"/>
      <c r="F45" s="29"/>
      <c r="G45" s="29"/>
      <c r="H45" s="29"/>
      <c r="I45" s="29"/>
      <c r="J45" s="30"/>
      <c r="K45" s="29">
        <v>21.5</v>
      </c>
      <c r="L45" s="29">
        <v>105.9</v>
      </c>
      <c r="M45" s="29"/>
      <c r="N45" s="29"/>
      <c r="O45" s="32"/>
      <c r="P45" s="29">
        <v>41.2</v>
      </c>
      <c r="Q45" s="29">
        <v>38.7</v>
      </c>
      <c r="R45" s="29">
        <v>5.9</v>
      </c>
      <c r="S45" s="30"/>
      <c r="T45" s="30">
        <v>3</v>
      </c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216.20000000000002</v>
      </c>
      <c r="AE45" s="28">
        <f>B45+C45-AD45</f>
        <v>765.9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166.3+128.2</f>
        <v>294.5</v>
      </c>
      <c r="C47" s="23">
        <v>494.1</v>
      </c>
      <c r="D47" s="23"/>
      <c r="E47" s="23"/>
      <c r="F47" s="23"/>
      <c r="G47" s="23"/>
      <c r="H47" s="23"/>
      <c r="I47" s="23"/>
      <c r="J47" s="27"/>
      <c r="K47" s="23"/>
      <c r="L47" s="23"/>
      <c r="M47" s="23"/>
      <c r="N47" s="23"/>
      <c r="O47" s="28"/>
      <c r="P47" s="23">
        <v>41.2</v>
      </c>
      <c r="Q47" s="23">
        <v>32.9</v>
      </c>
      <c r="R47" s="23"/>
      <c r="S47" s="27"/>
      <c r="T47" s="27">
        <v>3</v>
      </c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77.1</v>
      </c>
      <c r="AE47" s="28">
        <f>B47+C47-AD47</f>
        <v>711.5</v>
      </c>
    </row>
    <row r="48" spans="1:31" ht="30">
      <c r="A48" s="65" t="s">
        <v>63</v>
      </c>
      <c r="B48" s="23">
        <f>192.9-17.7</f>
        <v>175.20000000000002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>
        <v>41.2</v>
      </c>
      <c r="Q48" s="23"/>
      <c r="R48" s="23"/>
      <c r="S48" s="23"/>
      <c r="T48" s="23">
        <v>3</v>
      </c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44.2</v>
      </c>
      <c r="AE48" s="28">
        <f>B48+C48-AD48</f>
        <v>131</v>
      </c>
    </row>
    <row r="49" spans="1:31" ht="15.75">
      <c r="A49" s="64" t="s">
        <v>26</v>
      </c>
      <c r="B49" s="23">
        <f>B45-B46-B47</f>
        <v>146</v>
      </c>
      <c r="C49" s="23">
        <f>C45-C46-C47</f>
        <v>47.5</v>
      </c>
      <c r="D49" s="23">
        <f aca="true" t="shared" si="11" ref="D49:AC49">D45-D46-D47</f>
        <v>0</v>
      </c>
      <c r="E49" s="23">
        <f t="shared" si="11"/>
        <v>0</v>
      </c>
      <c r="F49" s="23">
        <f t="shared" si="11"/>
        <v>0</v>
      </c>
      <c r="G49" s="23">
        <f t="shared" si="11"/>
        <v>0</v>
      </c>
      <c r="H49" s="23">
        <f t="shared" si="11"/>
        <v>0</v>
      </c>
      <c r="I49" s="23">
        <f t="shared" si="11"/>
        <v>0</v>
      </c>
      <c r="J49" s="23">
        <f t="shared" si="11"/>
        <v>0</v>
      </c>
      <c r="K49" s="23">
        <f t="shared" si="11"/>
        <v>21.5</v>
      </c>
      <c r="L49" s="23">
        <f t="shared" si="11"/>
        <v>105.9</v>
      </c>
      <c r="M49" s="23">
        <f t="shared" si="11"/>
        <v>0</v>
      </c>
      <c r="N49" s="23">
        <f t="shared" si="11"/>
        <v>0</v>
      </c>
      <c r="O49" s="23">
        <f t="shared" si="11"/>
        <v>0</v>
      </c>
      <c r="P49" s="23">
        <f>P45-P46-P47</f>
        <v>0</v>
      </c>
      <c r="Q49" s="23">
        <f t="shared" si="11"/>
        <v>5.800000000000004</v>
      </c>
      <c r="R49" s="23">
        <f t="shared" si="11"/>
        <v>5.9</v>
      </c>
      <c r="S49" s="23">
        <f t="shared" si="11"/>
        <v>0</v>
      </c>
      <c r="T49" s="23">
        <f t="shared" si="11"/>
        <v>0</v>
      </c>
      <c r="U49" s="23">
        <f t="shared" si="11"/>
        <v>0</v>
      </c>
      <c r="V49" s="23">
        <f t="shared" si="11"/>
        <v>0</v>
      </c>
      <c r="W49" s="23">
        <f t="shared" si="11"/>
        <v>0</v>
      </c>
      <c r="X49" s="23">
        <f t="shared" si="11"/>
        <v>0</v>
      </c>
      <c r="Y49" s="23">
        <f t="shared" si="11"/>
        <v>0</v>
      </c>
      <c r="Z49" s="23">
        <f t="shared" si="11"/>
        <v>0</v>
      </c>
      <c r="AA49" s="23">
        <f t="shared" si="11"/>
        <v>0</v>
      </c>
      <c r="AB49" s="23">
        <f t="shared" si="11"/>
        <v>0</v>
      </c>
      <c r="AC49" s="23">
        <f t="shared" si="11"/>
        <v>0</v>
      </c>
      <c r="AD49" s="28">
        <f t="shared" si="1"/>
        <v>139.10000000000002</v>
      </c>
      <c r="AE49" s="28">
        <f>AE45-AE47-AE46</f>
        <v>54.39999999999998</v>
      </c>
    </row>
    <row r="50" spans="1:31" ht="15" customHeight="1">
      <c r="A50" s="4" t="s">
        <v>0</v>
      </c>
      <c r="B50" s="23">
        <f>3316.9-27</f>
        <v>3289.9</v>
      </c>
      <c r="C50" s="23">
        <v>7935.4</v>
      </c>
      <c r="D50" s="23"/>
      <c r="E50" s="23">
        <v>50</v>
      </c>
      <c r="F50" s="23">
        <v>142.3</v>
      </c>
      <c r="G50" s="23"/>
      <c r="H50" s="23"/>
      <c r="I50" s="23"/>
      <c r="J50" s="27"/>
      <c r="K50" s="23"/>
      <c r="L50" s="23"/>
      <c r="M50" s="23">
        <v>256.7</v>
      </c>
      <c r="N50" s="23">
        <v>50</v>
      </c>
      <c r="O50" s="28">
        <v>292.2</v>
      </c>
      <c r="P50" s="23"/>
      <c r="Q50" s="23">
        <v>200</v>
      </c>
      <c r="R50" s="23">
        <v>300</v>
      </c>
      <c r="S50" s="27">
        <v>200</v>
      </c>
      <c r="T50" s="27">
        <v>200</v>
      </c>
      <c r="U50" s="27">
        <v>39.2</v>
      </c>
      <c r="V50" s="23"/>
      <c r="W50" s="27">
        <v>150</v>
      </c>
      <c r="X50" s="27"/>
      <c r="Y50" s="27"/>
      <c r="Z50" s="23"/>
      <c r="AA50" s="23"/>
      <c r="AB50" s="23"/>
      <c r="AC50" s="23"/>
      <c r="AD50" s="28">
        <f t="shared" si="1"/>
        <v>1880.4</v>
      </c>
      <c r="AE50" s="28">
        <f aca="true" t="shared" si="12" ref="AE50:AE56">B50+C50-AD50</f>
        <v>9344.9</v>
      </c>
    </row>
    <row r="51" spans="1:32" ht="15" customHeight="1">
      <c r="A51" s="4" t="s">
        <v>9</v>
      </c>
      <c r="B51" s="45">
        <f>2227.2-47.3</f>
        <v>2179.8999999999996</v>
      </c>
      <c r="C51" s="23">
        <v>1704.7</v>
      </c>
      <c r="D51" s="23"/>
      <c r="E51" s="23"/>
      <c r="F51" s="23"/>
      <c r="G51" s="23"/>
      <c r="H51" s="23"/>
      <c r="I51" s="23"/>
      <c r="J51" s="27"/>
      <c r="K51" s="23"/>
      <c r="L51" s="23">
        <v>112.4</v>
      </c>
      <c r="M51" s="23">
        <v>421.4</v>
      </c>
      <c r="N51" s="23">
        <v>2.5</v>
      </c>
      <c r="O51" s="28">
        <v>324.5</v>
      </c>
      <c r="P51" s="23">
        <v>0.4</v>
      </c>
      <c r="Q51" s="28">
        <v>26.8</v>
      </c>
      <c r="R51" s="23">
        <v>0.5</v>
      </c>
      <c r="S51" s="27"/>
      <c r="T51" s="27"/>
      <c r="U51" s="27"/>
      <c r="V51" s="23">
        <v>849.2</v>
      </c>
      <c r="W51" s="27"/>
      <c r="X51" s="27"/>
      <c r="Y51" s="27"/>
      <c r="Z51" s="23"/>
      <c r="AA51" s="23"/>
      <c r="AB51" s="23"/>
      <c r="AC51" s="23"/>
      <c r="AD51" s="28">
        <f t="shared" si="1"/>
        <v>1737.6999999999998</v>
      </c>
      <c r="AE51" s="23">
        <f t="shared" si="12"/>
        <v>2146.8999999999996</v>
      </c>
      <c r="AF51" s="6"/>
    </row>
    <row r="52" spans="1:32" ht="15.75">
      <c r="A52" s="3" t="s">
        <v>5</v>
      </c>
      <c r="B52" s="23">
        <f>1525.7+6.7</f>
        <v>1532.4</v>
      </c>
      <c r="C52" s="23">
        <v>700.7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413.9</v>
      </c>
      <c r="N52" s="23"/>
      <c r="O52" s="28"/>
      <c r="P52" s="23"/>
      <c r="Q52" s="28"/>
      <c r="R52" s="23"/>
      <c r="S52" s="27"/>
      <c r="T52" s="27"/>
      <c r="U52" s="27"/>
      <c r="V52" s="23">
        <v>849.2</v>
      </c>
      <c r="W52" s="27"/>
      <c r="X52" s="27"/>
      <c r="Y52" s="27"/>
      <c r="Z52" s="23"/>
      <c r="AA52" s="23"/>
      <c r="AB52" s="23"/>
      <c r="AC52" s="23"/>
      <c r="AD52" s="28">
        <f t="shared" si="1"/>
        <v>1263.1</v>
      </c>
      <c r="AE52" s="23">
        <f t="shared" si="12"/>
        <v>970.0000000000005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2"/>
        <v>0</v>
      </c>
      <c r="AF53" s="6"/>
    </row>
    <row r="54" spans="1:31" ht="15.75">
      <c r="A54" s="3" t="s">
        <v>2</v>
      </c>
      <c r="B54" s="37">
        <f>19.3-6.7+0.1</f>
        <v>12.700000000000001</v>
      </c>
      <c r="C54" s="23">
        <v>195</v>
      </c>
      <c r="D54" s="23"/>
      <c r="E54" s="23"/>
      <c r="F54" s="23"/>
      <c r="G54" s="23"/>
      <c r="H54" s="23"/>
      <c r="I54" s="23"/>
      <c r="J54" s="27"/>
      <c r="K54" s="23"/>
      <c r="L54" s="23"/>
      <c r="M54" s="23">
        <v>7.5</v>
      </c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7.5</v>
      </c>
      <c r="AE54" s="23">
        <f t="shared" si="12"/>
        <v>200.2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2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2"/>
        <v>0</v>
      </c>
    </row>
    <row r="57" spans="1:31" ht="15.75">
      <c r="A57" s="3" t="s">
        <v>26</v>
      </c>
      <c r="B57" s="23">
        <f>B51-B52-B54-B56-B53-B55</f>
        <v>634.7999999999995</v>
      </c>
      <c r="C57" s="23">
        <f>C51-C52-C54-C56-C53-C55</f>
        <v>809</v>
      </c>
      <c r="D57" s="23">
        <f>D51-D52-D54-D56-D53-D55</f>
        <v>0</v>
      </c>
      <c r="E57" s="23">
        <f>E51-E52-E54-E56-E53-E55</f>
        <v>0</v>
      </c>
      <c r="F57" s="23">
        <f aca="true" t="shared" si="13" ref="F57:AC57">F51-F52-F54-F56-F53-F55</f>
        <v>0</v>
      </c>
      <c r="G57" s="23">
        <f t="shared" si="13"/>
        <v>0</v>
      </c>
      <c r="H57" s="23">
        <f t="shared" si="13"/>
        <v>0</v>
      </c>
      <c r="I57" s="23">
        <f t="shared" si="13"/>
        <v>0</v>
      </c>
      <c r="J57" s="23">
        <f t="shared" si="13"/>
        <v>0</v>
      </c>
      <c r="K57" s="23">
        <f t="shared" si="13"/>
        <v>0</v>
      </c>
      <c r="L57" s="23">
        <f t="shared" si="13"/>
        <v>112.4</v>
      </c>
      <c r="M57" s="23">
        <f t="shared" si="13"/>
        <v>0</v>
      </c>
      <c r="N57" s="23">
        <f t="shared" si="13"/>
        <v>2.5</v>
      </c>
      <c r="O57" s="23">
        <f t="shared" si="13"/>
        <v>324.5</v>
      </c>
      <c r="P57" s="23">
        <f t="shared" si="13"/>
        <v>0.4</v>
      </c>
      <c r="Q57" s="23">
        <f t="shared" si="13"/>
        <v>26.8</v>
      </c>
      <c r="R57" s="23">
        <f t="shared" si="13"/>
        <v>0.5</v>
      </c>
      <c r="S57" s="23">
        <f t="shared" si="13"/>
        <v>0</v>
      </c>
      <c r="T57" s="23">
        <f t="shared" si="13"/>
        <v>0</v>
      </c>
      <c r="U57" s="23">
        <f t="shared" si="13"/>
        <v>0</v>
      </c>
      <c r="V57" s="23">
        <f t="shared" si="13"/>
        <v>0</v>
      </c>
      <c r="W57" s="23">
        <f t="shared" si="13"/>
        <v>0</v>
      </c>
      <c r="X57" s="23">
        <f t="shared" si="13"/>
        <v>0</v>
      </c>
      <c r="Y57" s="23">
        <f t="shared" si="13"/>
        <v>0</v>
      </c>
      <c r="Z57" s="23">
        <f t="shared" si="13"/>
        <v>0</v>
      </c>
      <c r="AA57" s="23">
        <f t="shared" si="13"/>
        <v>0</v>
      </c>
      <c r="AB57" s="23">
        <f t="shared" si="13"/>
        <v>0</v>
      </c>
      <c r="AC57" s="23">
        <f t="shared" si="13"/>
        <v>0</v>
      </c>
      <c r="AD57" s="23">
        <f>AD51-AD52-AD54-AD56-AD53-AD55</f>
        <v>467.0999999999999</v>
      </c>
      <c r="AE57" s="23">
        <f>AE51-AE52-AE54-AE56-AE53-AE55</f>
        <v>976.6999999999991</v>
      </c>
    </row>
    <row r="58" spans="1:31" ht="15" customHeight="1">
      <c r="A58" s="4" t="s">
        <v>10</v>
      </c>
      <c r="B58" s="23">
        <f>88.8-60</f>
        <v>28.799999999999997</v>
      </c>
      <c r="C58" s="23">
        <v>370.1</v>
      </c>
      <c r="D58" s="23">
        <v>95</v>
      </c>
      <c r="E58" s="23"/>
      <c r="F58" s="23"/>
      <c r="G58" s="23"/>
      <c r="H58" s="23"/>
      <c r="I58" s="23"/>
      <c r="J58" s="27"/>
      <c r="K58" s="23">
        <v>24</v>
      </c>
      <c r="L58" s="23"/>
      <c r="M58" s="23"/>
      <c r="N58" s="23"/>
      <c r="O58" s="28"/>
      <c r="P58" s="23"/>
      <c r="Q58" s="28"/>
      <c r="R58" s="23">
        <v>3.6</v>
      </c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4" ref="AD58:AD88">SUM(D58:AB58)</f>
        <v>122.6</v>
      </c>
      <c r="AE58" s="23">
        <f aca="true" t="shared" si="15" ref="AE58:AE64">B58+C58-AD58</f>
        <v>276.30000000000007</v>
      </c>
    </row>
    <row r="59" spans="1:31" ht="15" customHeight="1">
      <c r="A59" s="4" t="s">
        <v>11</v>
      </c>
      <c r="B59" s="23">
        <v>537</v>
      </c>
      <c r="C59" s="23">
        <v>530.2</v>
      </c>
      <c r="D59" s="23"/>
      <c r="E59" s="23"/>
      <c r="F59" s="23"/>
      <c r="G59" s="23"/>
      <c r="H59" s="23"/>
      <c r="I59" s="23"/>
      <c r="J59" s="27"/>
      <c r="K59" s="23">
        <v>61.2</v>
      </c>
      <c r="L59" s="23"/>
      <c r="M59" s="23">
        <v>200.9</v>
      </c>
      <c r="N59" s="23">
        <v>53.5</v>
      </c>
      <c r="O59" s="28"/>
      <c r="P59" s="23">
        <v>0.7</v>
      </c>
      <c r="Q59" s="28">
        <v>14.5</v>
      </c>
      <c r="R59" s="23">
        <v>6.8</v>
      </c>
      <c r="S59" s="27"/>
      <c r="T59" s="27"/>
      <c r="U59" s="27"/>
      <c r="V59" s="23">
        <v>201.2</v>
      </c>
      <c r="W59" s="27"/>
      <c r="X59" s="27"/>
      <c r="Y59" s="27"/>
      <c r="Z59" s="23"/>
      <c r="AA59" s="23"/>
      <c r="AB59" s="23"/>
      <c r="AC59" s="23"/>
      <c r="AD59" s="28">
        <f t="shared" si="14"/>
        <v>538.8</v>
      </c>
      <c r="AE59" s="23">
        <f t="shared" si="15"/>
        <v>528.4000000000001</v>
      </c>
    </row>
    <row r="60" spans="1:32" ht="15.75">
      <c r="A60" s="3" t="s">
        <v>5</v>
      </c>
      <c r="B60" s="23">
        <f>295.2+63.6</f>
        <v>358.8</v>
      </c>
      <c r="C60" s="23">
        <v>35.6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181.6</v>
      </c>
      <c r="N60" s="23"/>
      <c r="O60" s="28"/>
      <c r="P60" s="23"/>
      <c r="Q60" s="28"/>
      <c r="R60" s="23"/>
      <c r="S60" s="27"/>
      <c r="T60" s="27"/>
      <c r="U60" s="27"/>
      <c r="V60" s="23">
        <v>201.2</v>
      </c>
      <c r="W60" s="27"/>
      <c r="X60" s="27"/>
      <c r="Y60" s="27"/>
      <c r="Z60" s="23"/>
      <c r="AA60" s="23"/>
      <c r="AB60" s="23"/>
      <c r="AC60" s="23"/>
      <c r="AD60" s="28">
        <f t="shared" si="14"/>
        <v>382.79999999999995</v>
      </c>
      <c r="AE60" s="23">
        <f t="shared" si="15"/>
        <v>11.60000000000008</v>
      </c>
      <c r="AF60" s="66"/>
    </row>
    <row r="61" spans="1:32" ht="15.75" hidden="1">
      <c r="A61" s="3" t="s">
        <v>3</v>
      </c>
      <c r="B61" s="23"/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4"/>
        <v>0</v>
      </c>
      <c r="AE61" s="23">
        <f t="shared" si="15"/>
        <v>0</v>
      </c>
      <c r="AF61" s="6"/>
    </row>
    <row r="62" spans="1:32" ht="15.75">
      <c r="A62" s="3" t="s">
        <v>1</v>
      </c>
      <c r="B62" s="23">
        <v>10.9</v>
      </c>
      <c r="C62" s="23">
        <v>75</v>
      </c>
      <c r="D62" s="23"/>
      <c r="E62" s="23"/>
      <c r="F62" s="23"/>
      <c r="G62" s="23"/>
      <c r="H62" s="23"/>
      <c r="I62" s="23"/>
      <c r="J62" s="27"/>
      <c r="K62" s="23"/>
      <c r="L62" s="23"/>
      <c r="M62" s="23">
        <v>11.1</v>
      </c>
      <c r="N62" s="23"/>
      <c r="O62" s="28"/>
      <c r="P62" s="23">
        <v>0.7</v>
      </c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11.799999999999999</v>
      </c>
      <c r="AE62" s="23">
        <f t="shared" si="15"/>
        <v>74.10000000000001</v>
      </c>
      <c r="AF62" s="6"/>
    </row>
    <row r="63" spans="1:31" ht="15.75">
      <c r="A63" s="3" t="s">
        <v>2</v>
      </c>
      <c r="B63" s="23">
        <v>14.8</v>
      </c>
      <c r="C63" s="23">
        <v>8</v>
      </c>
      <c r="D63" s="23"/>
      <c r="E63" s="23"/>
      <c r="F63" s="23"/>
      <c r="G63" s="23"/>
      <c r="H63" s="23"/>
      <c r="I63" s="23"/>
      <c r="J63" s="27"/>
      <c r="K63" s="23"/>
      <c r="L63" s="23"/>
      <c r="M63" s="23">
        <v>8.2</v>
      </c>
      <c r="N63" s="23"/>
      <c r="O63" s="28"/>
      <c r="P63" s="23"/>
      <c r="Q63" s="23">
        <v>0.3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8.5</v>
      </c>
      <c r="AE63" s="23">
        <f t="shared" si="15"/>
        <v>14.3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</row>
    <row r="65" spans="1:31" ht="15.75">
      <c r="A65" s="3" t="s">
        <v>26</v>
      </c>
      <c r="B65" s="23">
        <f>B59-B60-B63-B64-B62-B61</f>
        <v>152.49999999999997</v>
      </c>
      <c r="C65" s="23">
        <f>C59-C60-C63-C64-C62-C61</f>
        <v>411.6</v>
      </c>
      <c r="D65" s="23">
        <f>D59-D60-D63-D64-D62-D61</f>
        <v>0</v>
      </c>
      <c r="E65" s="23">
        <f>E59-E60-E63-E64-E62-E61</f>
        <v>0</v>
      </c>
      <c r="F65" s="23">
        <f aca="true" t="shared" si="16" ref="F65:AC65">F59-F60-F63-F64-F62-F61</f>
        <v>0</v>
      </c>
      <c r="G65" s="23">
        <f t="shared" si="16"/>
        <v>0</v>
      </c>
      <c r="H65" s="23">
        <f t="shared" si="16"/>
        <v>0</v>
      </c>
      <c r="I65" s="23">
        <f t="shared" si="16"/>
        <v>0</v>
      </c>
      <c r="J65" s="23">
        <f t="shared" si="16"/>
        <v>0</v>
      </c>
      <c r="K65" s="23">
        <f t="shared" si="16"/>
        <v>61.2</v>
      </c>
      <c r="L65" s="23">
        <f t="shared" si="16"/>
        <v>0</v>
      </c>
      <c r="M65" s="23">
        <f t="shared" si="16"/>
        <v>1.2434497875801753E-14</v>
      </c>
      <c r="N65" s="23">
        <f t="shared" si="16"/>
        <v>53.5</v>
      </c>
      <c r="O65" s="23">
        <f t="shared" si="16"/>
        <v>0</v>
      </c>
      <c r="P65" s="23">
        <f t="shared" si="16"/>
        <v>0</v>
      </c>
      <c r="Q65" s="23">
        <f t="shared" si="16"/>
        <v>14.2</v>
      </c>
      <c r="R65" s="23">
        <f t="shared" si="16"/>
        <v>6.8</v>
      </c>
      <c r="S65" s="23">
        <f t="shared" si="16"/>
        <v>0</v>
      </c>
      <c r="T65" s="23">
        <f t="shared" si="16"/>
        <v>0</v>
      </c>
      <c r="U65" s="23">
        <f t="shared" si="16"/>
        <v>0</v>
      </c>
      <c r="V65" s="23">
        <f t="shared" si="16"/>
        <v>0</v>
      </c>
      <c r="W65" s="23">
        <f t="shared" si="16"/>
        <v>0</v>
      </c>
      <c r="X65" s="23">
        <f t="shared" si="16"/>
        <v>0</v>
      </c>
      <c r="Y65" s="23">
        <f t="shared" si="16"/>
        <v>0</v>
      </c>
      <c r="Z65" s="23">
        <f t="shared" si="16"/>
        <v>0</v>
      </c>
      <c r="AA65" s="23">
        <f t="shared" si="16"/>
        <v>0</v>
      </c>
      <c r="AB65" s="23">
        <f t="shared" si="16"/>
        <v>0</v>
      </c>
      <c r="AC65" s="23">
        <f t="shared" si="16"/>
        <v>0</v>
      </c>
      <c r="AD65" s="28">
        <f t="shared" si="14"/>
        <v>135.70000000000002</v>
      </c>
      <c r="AE65" s="23">
        <f>AE59-AE60-AE63-AE64-AE62-AE61</f>
        <v>428.3999999999999</v>
      </c>
    </row>
    <row r="66" spans="1:31" ht="31.5">
      <c r="A66" s="4" t="s">
        <v>34</v>
      </c>
      <c r="B66" s="23">
        <v>0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4"/>
        <v>0</v>
      </c>
      <c r="AE66" s="31">
        <f aca="true" t="shared" si="17" ref="AE66:AE78">B66+C66-AD66</f>
        <v>983</v>
      </c>
    </row>
    <row r="67" spans="1:31" ht="15.75">
      <c r="A67" s="4" t="s">
        <v>43</v>
      </c>
      <c r="B67" s="23">
        <v>6.4</v>
      </c>
      <c r="C67" s="23">
        <v>10.8</v>
      </c>
      <c r="D67" s="23"/>
      <c r="E67" s="23"/>
      <c r="F67" s="23"/>
      <c r="G67" s="23"/>
      <c r="H67" s="23"/>
      <c r="I67" s="23"/>
      <c r="J67" s="27"/>
      <c r="K67" s="23">
        <v>5.5</v>
      </c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5.5</v>
      </c>
      <c r="AE67" s="31">
        <f t="shared" si="17"/>
        <v>11.700000000000003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4"/>
        <v>0</v>
      </c>
      <c r="AE68" s="31">
        <f t="shared" si="17"/>
        <v>100.1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2763.2-2094+27-394.3</f>
        <v>301.8999999999998</v>
      </c>
      <c r="C69" s="23">
        <v>1925</v>
      </c>
      <c r="D69" s="23"/>
      <c r="E69" s="23"/>
      <c r="F69" s="23"/>
      <c r="G69" s="23"/>
      <c r="H69" s="23"/>
      <c r="I69" s="23"/>
      <c r="J69" s="27"/>
      <c r="K69" s="23">
        <v>86.9</v>
      </c>
      <c r="L69" s="23">
        <v>2.8</v>
      </c>
      <c r="M69" s="23">
        <v>14</v>
      </c>
      <c r="N69" s="23">
        <v>81.4</v>
      </c>
      <c r="O69" s="23"/>
      <c r="P69" s="23"/>
      <c r="Q69" s="28">
        <v>0.6</v>
      </c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4"/>
        <v>185.70000000000002</v>
      </c>
      <c r="AE69" s="31">
        <f t="shared" si="17"/>
        <v>2041.1999999999996</v>
      </c>
    </row>
    <row r="70" spans="1:31" ht="15" customHeight="1">
      <c r="A70" s="3" t="s">
        <v>5</v>
      </c>
      <c r="B70" s="23">
        <v>13.5</v>
      </c>
      <c r="C70" s="23">
        <v>13.5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27</v>
      </c>
    </row>
    <row r="71" spans="1:31" ht="15" customHeight="1">
      <c r="A71" s="3" t="s">
        <v>2</v>
      </c>
      <c r="B71" s="23">
        <f>-289.9+300</f>
        <v>10.100000000000023</v>
      </c>
      <c r="C71" s="23">
        <f>434.6-300</f>
        <v>134.60000000000002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14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4"/>
        <v>14</v>
      </c>
      <c r="AE71" s="31">
        <f t="shared" si="17"/>
        <v>130.70000000000005</v>
      </c>
    </row>
    <row r="72" spans="1:31" s="11" customFormat="1" ht="31.5">
      <c r="A72" s="12" t="s">
        <v>21</v>
      </c>
      <c r="B72" s="23">
        <f>84.8+460</f>
        <v>544.8</v>
      </c>
      <c r="C72" s="23">
        <v>82.8</v>
      </c>
      <c r="D72" s="23"/>
      <c r="E72" s="29"/>
      <c r="F72" s="29"/>
      <c r="G72" s="29"/>
      <c r="H72" s="29">
        <v>5.6</v>
      </c>
      <c r="I72" s="29"/>
      <c r="J72" s="30"/>
      <c r="K72" s="29"/>
      <c r="L72" s="29"/>
      <c r="M72" s="29">
        <v>24.5</v>
      </c>
      <c r="N72" s="29"/>
      <c r="O72" s="29"/>
      <c r="P72" s="29"/>
      <c r="Q72" s="32">
        <v>3.6</v>
      </c>
      <c r="R72" s="29"/>
      <c r="S72" s="30"/>
      <c r="T72" s="30"/>
      <c r="U72" s="29"/>
      <c r="V72" s="30">
        <v>36.9</v>
      </c>
      <c r="W72" s="30"/>
      <c r="X72" s="30"/>
      <c r="Y72" s="30"/>
      <c r="Z72" s="29"/>
      <c r="AA72" s="29"/>
      <c r="AB72" s="29"/>
      <c r="AC72" s="29"/>
      <c r="AD72" s="28">
        <f t="shared" si="14"/>
        <v>70.6</v>
      </c>
      <c r="AE72" s="31">
        <f t="shared" si="17"/>
        <v>556.9999999999999</v>
      </c>
    </row>
    <row r="73" spans="1:31" s="11" customFormat="1" ht="15.75">
      <c r="A73" s="3" t="s">
        <v>5</v>
      </c>
      <c r="B73" s="23">
        <v>65.3</v>
      </c>
      <c r="C73" s="23">
        <v>1.8</v>
      </c>
      <c r="D73" s="23"/>
      <c r="E73" s="29"/>
      <c r="F73" s="29"/>
      <c r="G73" s="29"/>
      <c r="H73" s="29">
        <v>5.6</v>
      </c>
      <c r="I73" s="29"/>
      <c r="J73" s="30"/>
      <c r="K73" s="29"/>
      <c r="L73" s="29"/>
      <c r="M73" s="29">
        <v>24.5</v>
      </c>
      <c r="N73" s="29"/>
      <c r="O73" s="29"/>
      <c r="P73" s="29"/>
      <c r="Q73" s="32"/>
      <c r="R73" s="29"/>
      <c r="S73" s="30"/>
      <c r="T73" s="30"/>
      <c r="U73" s="29"/>
      <c r="V73" s="30">
        <v>36.9</v>
      </c>
      <c r="W73" s="30"/>
      <c r="X73" s="30"/>
      <c r="Y73" s="30"/>
      <c r="Z73" s="29"/>
      <c r="AA73" s="29"/>
      <c r="AB73" s="29"/>
      <c r="AC73" s="29"/>
      <c r="AD73" s="28">
        <f t="shared" si="14"/>
        <v>67</v>
      </c>
      <c r="AE73" s="31">
        <f t="shared" si="17"/>
        <v>0.09999999999999432</v>
      </c>
    </row>
    <row r="74" spans="1:31" s="11" customFormat="1" ht="15.75">
      <c r="A74" s="3" t="s">
        <v>3</v>
      </c>
      <c r="B74" s="23">
        <v>70</v>
      </c>
      <c r="C74" s="23">
        <v>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4"/>
        <v>0</v>
      </c>
      <c r="AE74" s="31">
        <f t="shared" si="17"/>
        <v>70</v>
      </c>
    </row>
    <row r="75" spans="1:31" s="11" customFormat="1" ht="15.75">
      <c r="A75" s="3" t="s">
        <v>1</v>
      </c>
      <c r="B75" s="23">
        <v>9.7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0</v>
      </c>
      <c r="AE75" s="31">
        <f t="shared" si="17"/>
        <v>9.7</v>
      </c>
    </row>
    <row r="76" spans="1:31" s="11" customFormat="1" ht="15.75">
      <c r="A76" s="3" t="s">
        <v>2</v>
      </c>
      <c r="B76" s="23">
        <v>0</v>
      </c>
      <c r="C76" s="23">
        <v>2.1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0</v>
      </c>
      <c r="AE76" s="31">
        <f t="shared" si="17"/>
        <v>2.1</v>
      </c>
    </row>
    <row r="77" spans="1:31" s="11" customFormat="1" ht="15.75">
      <c r="A77" s="12" t="s">
        <v>42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2094</v>
      </c>
      <c r="AE77" s="31">
        <f t="shared" si="17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4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aca="true" t="shared" si="18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8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4"/>
        <v>0</v>
      </c>
      <c r="AE82" s="31">
        <f t="shared" si="18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31">
        <f t="shared" si="18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4"/>
        <v>0</v>
      </c>
      <c r="AE84" s="23">
        <f t="shared" si="18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4"/>
        <v>0</v>
      </c>
      <c r="AE85" s="23">
        <f t="shared" si="18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4"/>
        <v>0</v>
      </c>
      <c r="AE86" s="23">
        <f t="shared" si="18"/>
        <v>0</v>
      </c>
      <c r="AF86" s="11"/>
    </row>
    <row r="87" spans="1:32" ht="15.75">
      <c r="A87" s="4" t="s">
        <v>29</v>
      </c>
      <c r="B87" s="23">
        <v>33.4</v>
      </c>
      <c r="C87" s="23">
        <v>233.3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8"/>
        <v>266.7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8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9" ref="B90:W90">B10+B15+B23+B31+B45+B50+B51+B58+B59+B66+B68+B69+B72+B77+B78+B79+B84+B85+B86+B87+B38+B88+B67</f>
        <v>43413.000000000015</v>
      </c>
      <c r="C90" s="43">
        <f t="shared" si="19"/>
        <v>30051.699999999993</v>
      </c>
      <c r="D90" s="43">
        <f t="shared" si="19"/>
        <v>491.8</v>
      </c>
      <c r="E90" s="43">
        <f t="shared" si="19"/>
        <v>256.2</v>
      </c>
      <c r="F90" s="43">
        <f t="shared" si="19"/>
        <v>742.8</v>
      </c>
      <c r="G90" s="43">
        <f t="shared" si="19"/>
        <v>548.9</v>
      </c>
      <c r="H90" s="43">
        <f t="shared" si="19"/>
        <v>460.50000000000006</v>
      </c>
      <c r="I90" s="43">
        <f t="shared" si="19"/>
        <v>1165.6</v>
      </c>
      <c r="J90" s="43">
        <f t="shared" si="19"/>
        <v>272</v>
      </c>
      <c r="K90" s="43">
        <f t="shared" si="19"/>
        <v>205.60000000000002</v>
      </c>
      <c r="L90" s="43">
        <f t="shared" si="19"/>
        <v>223.90000000000003</v>
      </c>
      <c r="M90" s="43">
        <f t="shared" si="19"/>
        <v>18232.699999999997</v>
      </c>
      <c r="N90" s="43">
        <f t="shared" si="19"/>
        <v>407.5</v>
      </c>
      <c r="O90" s="43">
        <f t="shared" si="19"/>
        <v>616.7</v>
      </c>
      <c r="P90" s="43">
        <f t="shared" si="19"/>
        <v>555.4000000000001</v>
      </c>
      <c r="Q90" s="43">
        <f t="shared" si="19"/>
        <v>539.3000000000001</v>
      </c>
      <c r="R90" s="43">
        <f t="shared" si="19"/>
        <v>2369.4</v>
      </c>
      <c r="S90" s="43">
        <f t="shared" si="19"/>
        <v>2349.6</v>
      </c>
      <c r="T90" s="43">
        <f t="shared" si="19"/>
        <v>920.9</v>
      </c>
      <c r="U90" s="43">
        <f t="shared" si="19"/>
        <v>291.6</v>
      </c>
      <c r="V90" s="43">
        <f t="shared" si="19"/>
        <v>9765.800000000003</v>
      </c>
      <c r="W90" s="43">
        <f t="shared" si="19"/>
        <v>1814.5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42230.700000000004</v>
      </c>
      <c r="AE90" s="60">
        <f>AE10+AE15+AE23+AE31+AE45+AE50+AE51+AE58+AE59+AE66+AE68+AE69+AE72+AE77+AE78+AE79+AE84+AE85+AE86+AE87+AE67+AE38+AE88</f>
        <v>31234</v>
      </c>
    </row>
    <row r="91" spans="1:31" ht="15.75">
      <c r="A91" s="3" t="s">
        <v>5</v>
      </c>
      <c r="B91" s="23">
        <f aca="true" t="shared" si="20" ref="B91:AB91">B11+B16+B24+B32+B52+B60+B70+B39+B73</f>
        <v>31671.199999999997</v>
      </c>
      <c r="C91" s="23">
        <f t="shared" si="20"/>
        <v>8555.8</v>
      </c>
      <c r="D91" s="23">
        <f t="shared" si="20"/>
        <v>396.8</v>
      </c>
      <c r="E91" s="23">
        <f t="shared" si="20"/>
        <v>201.7</v>
      </c>
      <c r="F91" s="23">
        <f t="shared" si="20"/>
        <v>580.6</v>
      </c>
      <c r="G91" s="23">
        <f t="shared" si="20"/>
        <v>548.9</v>
      </c>
      <c r="H91" s="23">
        <f t="shared" si="20"/>
        <v>444.90000000000003</v>
      </c>
      <c r="I91" s="23">
        <f t="shared" si="20"/>
        <v>1165.6</v>
      </c>
      <c r="J91" s="23">
        <f t="shared" si="20"/>
        <v>272</v>
      </c>
      <c r="K91" s="23">
        <f t="shared" si="20"/>
        <v>6.5</v>
      </c>
      <c r="L91" s="23">
        <f t="shared" si="20"/>
        <v>0</v>
      </c>
      <c r="M91" s="23">
        <f t="shared" si="20"/>
        <v>13586.6</v>
      </c>
      <c r="N91" s="23">
        <f t="shared" si="20"/>
        <v>0</v>
      </c>
      <c r="O91" s="23">
        <f t="shared" si="20"/>
        <v>0</v>
      </c>
      <c r="P91" s="23">
        <f t="shared" si="20"/>
        <v>1</v>
      </c>
      <c r="Q91" s="23">
        <f t="shared" si="20"/>
        <v>3.1</v>
      </c>
      <c r="R91" s="23">
        <f t="shared" si="20"/>
        <v>1663.6</v>
      </c>
      <c r="S91" s="23">
        <f t="shared" si="20"/>
        <v>2140.4</v>
      </c>
      <c r="T91" s="23">
        <f t="shared" si="20"/>
        <v>717.9</v>
      </c>
      <c r="U91" s="23">
        <f t="shared" si="20"/>
        <v>245.1</v>
      </c>
      <c r="V91" s="23">
        <f t="shared" si="20"/>
        <v>9661.000000000002</v>
      </c>
      <c r="W91" s="23">
        <f t="shared" si="20"/>
        <v>1603</v>
      </c>
      <c r="X91" s="23">
        <f t="shared" si="20"/>
        <v>0</v>
      </c>
      <c r="Y91" s="23">
        <f t="shared" si="20"/>
        <v>0</v>
      </c>
      <c r="Z91" s="23">
        <f t="shared" si="20"/>
        <v>0</v>
      </c>
      <c r="AA91" s="23">
        <f t="shared" si="20"/>
        <v>0</v>
      </c>
      <c r="AB91" s="23">
        <f t="shared" si="20"/>
        <v>0</v>
      </c>
      <c r="AC91" s="23"/>
      <c r="AD91" s="23">
        <f>SUM(D91:AB91)</f>
        <v>33238.7</v>
      </c>
      <c r="AE91" s="28">
        <f>B91+C91-AD91</f>
        <v>6988.300000000003</v>
      </c>
    </row>
    <row r="92" spans="1:31" ht="15.75">
      <c r="A92" s="3" t="s">
        <v>2</v>
      </c>
      <c r="B92" s="23">
        <f aca="true" t="shared" si="21" ref="B92:X92">B12+B19+B27+B34+B54+B63+B42+B76+B71</f>
        <v>1162.6</v>
      </c>
      <c r="C92" s="23">
        <f t="shared" si="21"/>
        <v>1693.4</v>
      </c>
      <c r="D92" s="23">
        <f t="shared" si="21"/>
        <v>0</v>
      </c>
      <c r="E92" s="23">
        <f t="shared" si="21"/>
        <v>0</v>
      </c>
      <c r="F92" s="23">
        <f t="shared" si="21"/>
        <v>0</v>
      </c>
      <c r="G92" s="23">
        <f t="shared" si="21"/>
        <v>0</v>
      </c>
      <c r="H92" s="23">
        <f t="shared" si="21"/>
        <v>0</v>
      </c>
      <c r="I92" s="23">
        <f t="shared" si="21"/>
        <v>0</v>
      </c>
      <c r="J92" s="23">
        <f t="shared" si="21"/>
        <v>0</v>
      </c>
      <c r="K92" s="23">
        <f t="shared" si="21"/>
        <v>0</v>
      </c>
      <c r="L92" s="23">
        <f t="shared" si="21"/>
        <v>0</v>
      </c>
      <c r="M92" s="23">
        <f t="shared" si="21"/>
        <v>799.4000000000001</v>
      </c>
      <c r="N92" s="23">
        <f t="shared" si="21"/>
        <v>1.5</v>
      </c>
      <c r="O92" s="23">
        <f t="shared" si="21"/>
        <v>0</v>
      </c>
      <c r="P92" s="23">
        <f t="shared" si="21"/>
        <v>200.6</v>
      </c>
      <c r="Q92" s="23">
        <f t="shared" si="21"/>
        <v>37.5</v>
      </c>
      <c r="R92" s="23">
        <f t="shared" si="21"/>
        <v>0</v>
      </c>
      <c r="S92" s="23">
        <f t="shared" si="21"/>
        <v>0</v>
      </c>
      <c r="T92" s="23">
        <f t="shared" si="21"/>
        <v>0</v>
      </c>
      <c r="U92" s="23">
        <f t="shared" si="21"/>
        <v>0</v>
      </c>
      <c r="V92" s="23">
        <f t="shared" si="21"/>
        <v>0</v>
      </c>
      <c r="W92" s="23">
        <f t="shared" si="21"/>
        <v>0</v>
      </c>
      <c r="X92" s="23">
        <f t="shared" si="21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1039</v>
      </c>
      <c r="AE92" s="28">
        <f>B92+C92-AD92</f>
        <v>1817</v>
      </c>
    </row>
    <row r="93" spans="1:31" ht="15.75">
      <c r="A93" s="3" t="s">
        <v>3</v>
      </c>
      <c r="B93" s="23">
        <f>B17+B25+B40+B61+B74</f>
        <v>677.9000000000001</v>
      </c>
      <c r="C93" s="23">
        <f aca="true" t="shared" si="22" ref="C93:W93">C17+C25+C40+C61+C74</f>
        <v>2205.6</v>
      </c>
      <c r="D93" s="23">
        <f t="shared" si="22"/>
        <v>0</v>
      </c>
      <c r="E93" s="23">
        <f t="shared" si="22"/>
        <v>0</v>
      </c>
      <c r="F93" s="23">
        <f t="shared" si="22"/>
        <v>0</v>
      </c>
      <c r="G93" s="23">
        <f t="shared" si="22"/>
        <v>0</v>
      </c>
      <c r="H93" s="23">
        <f t="shared" si="22"/>
        <v>0</v>
      </c>
      <c r="I93" s="23">
        <f t="shared" si="22"/>
        <v>0</v>
      </c>
      <c r="J93" s="23">
        <f t="shared" si="22"/>
        <v>0</v>
      </c>
      <c r="K93" s="23">
        <f t="shared" si="22"/>
        <v>0</v>
      </c>
      <c r="L93" s="23">
        <f t="shared" si="22"/>
        <v>0</v>
      </c>
      <c r="M93" s="23">
        <f t="shared" si="22"/>
        <v>354.3</v>
      </c>
      <c r="N93" s="23">
        <f t="shared" si="22"/>
        <v>8.9</v>
      </c>
      <c r="O93" s="23">
        <f t="shared" si="22"/>
        <v>0</v>
      </c>
      <c r="P93" s="23">
        <f t="shared" si="22"/>
        <v>29.5</v>
      </c>
      <c r="Q93" s="23">
        <f t="shared" si="22"/>
        <v>20</v>
      </c>
      <c r="R93" s="23">
        <f t="shared" si="22"/>
        <v>0</v>
      </c>
      <c r="S93" s="23">
        <f t="shared" si="22"/>
        <v>0</v>
      </c>
      <c r="T93" s="23">
        <f t="shared" si="22"/>
        <v>0</v>
      </c>
      <c r="U93" s="23">
        <f t="shared" si="22"/>
        <v>0</v>
      </c>
      <c r="V93" s="23">
        <f t="shared" si="22"/>
        <v>0</v>
      </c>
      <c r="W93" s="23">
        <f t="shared" si="22"/>
        <v>0</v>
      </c>
      <c r="X93" s="23">
        <f>X17+X25+X40+X61</f>
        <v>0</v>
      </c>
      <c r="Y93" s="23">
        <f>Y17+Y25+Y40+Y61</f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412.7</v>
      </c>
      <c r="AE93" s="28">
        <f>B93+C93-AD93</f>
        <v>2470.8</v>
      </c>
    </row>
    <row r="94" spans="1:31" ht="15.75">
      <c r="A94" s="3" t="s">
        <v>1</v>
      </c>
      <c r="B94" s="23">
        <f>B18+B26+B62+B33+B41+B53+B46+B75</f>
        <v>895.8</v>
      </c>
      <c r="C94" s="23">
        <f aca="true" t="shared" si="23" ref="C94:W94">C18+C26+C62+C33+C41+C53+C46+C75</f>
        <v>818.5</v>
      </c>
      <c r="D94" s="23">
        <f t="shared" si="23"/>
        <v>0</v>
      </c>
      <c r="E94" s="23">
        <f t="shared" si="23"/>
        <v>0</v>
      </c>
      <c r="F94" s="23">
        <f t="shared" si="23"/>
        <v>0</v>
      </c>
      <c r="G94" s="23">
        <f t="shared" si="23"/>
        <v>0</v>
      </c>
      <c r="H94" s="23">
        <f t="shared" si="23"/>
        <v>0</v>
      </c>
      <c r="I94" s="23">
        <f t="shared" si="23"/>
        <v>0</v>
      </c>
      <c r="J94" s="23">
        <f t="shared" si="23"/>
        <v>0</v>
      </c>
      <c r="K94" s="23">
        <f t="shared" si="23"/>
        <v>0</v>
      </c>
      <c r="L94" s="23">
        <f t="shared" si="23"/>
        <v>0</v>
      </c>
      <c r="M94" s="23">
        <f t="shared" si="23"/>
        <v>891.7</v>
      </c>
      <c r="N94" s="23">
        <f t="shared" si="23"/>
        <v>0</v>
      </c>
      <c r="O94" s="23">
        <f t="shared" si="23"/>
        <v>0</v>
      </c>
      <c r="P94" s="23">
        <f t="shared" si="23"/>
        <v>26.400000000000002</v>
      </c>
      <c r="Q94" s="23">
        <f t="shared" si="23"/>
        <v>0</v>
      </c>
      <c r="R94" s="23">
        <f t="shared" si="23"/>
        <v>128.7</v>
      </c>
      <c r="S94" s="23">
        <f t="shared" si="23"/>
        <v>1.7</v>
      </c>
      <c r="T94" s="23">
        <f t="shared" si="23"/>
        <v>0</v>
      </c>
      <c r="U94" s="23">
        <f t="shared" si="23"/>
        <v>0</v>
      </c>
      <c r="V94" s="23">
        <f t="shared" si="23"/>
        <v>0</v>
      </c>
      <c r="W94" s="23">
        <f t="shared" si="23"/>
        <v>0</v>
      </c>
      <c r="X94" s="23">
        <f>X18+X26+X62+X33+X41+X53+X46</f>
        <v>0</v>
      </c>
      <c r="Y94" s="23">
        <f>Y18+Y26+Y62+Y33+Y41+Y53</f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1048.5</v>
      </c>
      <c r="AE94" s="28">
        <f>B94+C94-AD94</f>
        <v>665.8</v>
      </c>
    </row>
    <row r="95" spans="1:31" ht="15.75">
      <c r="A95" s="3" t="s">
        <v>17</v>
      </c>
      <c r="B95" s="23">
        <f aca="true" t="shared" si="24" ref="B95:AB95">B20+B28+B47+B35+B55+B13</f>
        <v>414.8</v>
      </c>
      <c r="C95" s="23">
        <f t="shared" si="24"/>
        <v>776.9000000000001</v>
      </c>
      <c r="D95" s="23">
        <f t="shared" si="24"/>
        <v>0</v>
      </c>
      <c r="E95" s="23">
        <f t="shared" si="24"/>
        <v>0</v>
      </c>
      <c r="F95" s="23">
        <f t="shared" si="24"/>
        <v>0</v>
      </c>
      <c r="G95" s="23">
        <f t="shared" si="24"/>
        <v>0</v>
      </c>
      <c r="H95" s="23">
        <f t="shared" si="24"/>
        <v>0</v>
      </c>
      <c r="I95" s="23">
        <f t="shared" si="24"/>
        <v>0</v>
      </c>
      <c r="J95" s="23">
        <f t="shared" si="24"/>
        <v>0</v>
      </c>
      <c r="K95" s="23">
        <f t="shared" si="24"/>
        <v>0</v>
      </c>
      <c r="L95" s="23">
        <f t="shared" si="24"/>
        <v>0</v>
      </c>
      <c r="M95" s="23">
        <f t="shared" si="24"/>
        <v>0</v>
      </c>
      <c r="N95" s="23">
        <f t="shared" si="24"/>
        <v>58.9</v>
      </c>
      <c r="O95" s="23">
        <f t="shared" si="24"/>
        <v>0</v>
      </c>
      <c r="P95" s="23">
        <f t="shared" si="24"/>
        <v>184.8</v>
      </c>
      <c r="Q95" s="23">
        <f t="shared" si="24"/>
        <v>63.599999999999994</v>
      </c>
      <c r="R95" s="23">
        <f t="shared" si="24"/>
        <v>0</v>
      </c>
      <c r="S95" s="23">
        <f t="shared" si="24"/>
        <v>0</v>
      </c>
      <c r="T95" s="23">
        <f t="shared" si="24"/>
        <v>3</v>
      </c>
      <c r="U95" s="23">
        <f t="shared" si="24"/>
        <v>0</v>
      </c>
      <c r="V95" s="23">
        <f t="shared" si="24"/>
        <v>0</v>
      </c>
      <c r="W95" s="23">
        <f t="shared" si="24"/>
        <v>0</v>
      </c>
      <c r="X95" s="23">
        <f t="shared" si="24"/>
        <v>0</v>
      </c>
      <c r="Y95" s="23">
        <f t="shared" si="24"/>
        <v>0</v>
      </c>
      <c r="Z95" s="23">
        <f t="shared" si="24"/>
        <v>0</v>
      </c>
      <c r="AA95" s="23">
        <f t="shared" si="24"/>
        <v>0</v>
      </c>
      <c r="AB95" s="23">
        <f t="shared" si="24"/>
        <v>0</v>
      </c>
      <c r="AC95" s="23"/>
      <c r="AD95" s="23">
        <f>SUM(D95:AB95)</f>
        <v>310.3</v>
      </c>
      <c r="AE95" s="28">
        <f>B95+C95-AD95</f>
        <v>881.4000000000001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6181.500000000007</v>
      </c>
      <c r="AE96" s="2">
        <f>AE90-AE91-AE92-AE93-AE94-AE95</f>
        <v>18410.699999999997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491.8</v>
      </c>
      <c r="E99" s="54">
        <f aca="true" t="shared" si="25" ref="E99:Y99">E90+D99</f>
        <v>748</v>
      </c>
      <c r="F99" s="54">
        <f t="shared" si="25"/>
        <v>1490.8</v>
      </c>
      <c r="G99" s="54">
        <f t="shared" si="25"/>
        <v>2039.6999999999998</v>
      </c>
      <c r="H99" s="54">
        <f t="shared" si="25"/>
        <v>2500.2</v>
      </c>
      <c r="I99" s="54">
        <f t="shared" si="25"/>
        <v>3665.7999999999997</v>
      </c>
      <c r="J99" s="54">
        <f t="shared" si="25"/>
        <v>3937.7999999999997</v>
      </c>
      <c r="K99" s="54">
        <f t="shared" si="25"/>
        <v>4143.4</v>
      </c>
      <c r="L99" s="54">
        <f t="shared" si="25"/>
        <v>4367.299999999999</v>
      </c>
      <c r="M99" s="54">
        <f t="shared" si="25"/>
        <v>22599.999999999996</v>
      </c>
      <c r="N99" s="54">
        <f t="shared" si="25"/>
        <v>23007.499999999996</v>
      </c>
      <c r="O99" s="54">
        <f t="shared" si="25"/>
        <v>23624.199999999997</v>
      </c>
      <c r="P99" s="54">
        <f t="shared" si="25"/>
        <v>24179.6</v>
      </c>
      <c r="Q99" s="54">
        <f t="shared" si="25"/>
        <v>24718.899999999998</v>
      </c>
      <c r="R99" s="54">
        <f t="shared" si="25"/>
        <v>27088.3</v>
      </c>
      <c r="S99" s="54">
        <f t="shared" si="25"/>
        <v>29437.899999999998</v>
      </c>
      <c r="T99" s="54">
        <f t="shared" si="25"/>
        <v>30358.8</v>
      </c>
      <c r="U99" s="54">
        <f t="shared" si="25"/>
        <v>30650.399999999998</v>
      </c>
      <c r="V99" s="54">
        <f t="shared" si="25"/>
        <v>40416.2</v>
      </c>
      <c r="W99" s="54">
        <f t="shared" si="25"/>
        <v>42230.7</v>
      </c>
      <c r="X99" s="54">
        <f t="shared" si="25"/>
        <v>42230.7</v>
      </c>
      <c r="Y99" s="54">
        <f t="shared" si="25"/>
        <v>42230.7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19">
        <v>25</v>
      </c>
      <c r="W4" s="19">
        <v>26</v>
      </c>
      <c r="X4" s="19">
        <v>29</v>
      </c>
      <c r="Y4" s="19">
        <v>30</v>
      </c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37607.2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20035.2</v>
      </c>
      <c r="N6" s="47"/>
      <c r="O6" s="47"/>
      <c r="P6" s="47"/>
      <c r="Q6" s="47"/>
      <c r="R6" s="47"/>
      <c r="S6" s="48"/>
      <c r="T6" s="48"/>
      <c r="U6" s="47"/>
      <c r="V6" s="48"/>
      <c r="W6" s="48">
        <v>17572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10440.8</v>
      </c>
      <c r="C8" s="41">
        <v>0</v>
      </c>
      <c r="D8" s="44">
        <v>1297.2</v>
      </c>
      <c r="E8" s="56">
        <v>199.6</v>
      </c>
      <c r="F8" s="56">
        <v>728.4</v>
      </c>
      <c r="G8" s="56">
        <v>300</v>
      </c>
      <c r="H8" s="56">
        <v>494.1</v>
      </c>
      <c r="I8" s="56">
        <v>1053.3</v>
      </c>
      <c r="J8" s="57">
        <v>296.3</v>
      </c>
      <c r="K8" s="56">
        <v>281.2</v>
      </c>
      <c r="L8" s="56">
        <v>226.9</v>
      </c>
      <c r="M8" s="56">
        <v>163.3</v>
      </c>
      <c r="N8" s="56">
        <v>310</v>
      </c>
      <c r="O8" s="56">
        <v>464.8</v>
      </c>
      <c r="P8" s="56">
        <v>492.5</v>
      </c>
      <c r="Q8" s="56">
        <v>224.7</v>
      </c>
      <c r="R8" s="56">
        <v>270.4</v>
      </c>
      <c r="S8" s="58">
        <v>511.6</v>
      </c>
      <c r="T8" s="58">
        <v>679.5</v>
      </c>
      <c r="U8" s="56">
        <v>444.6</v>
      </c>
      <c r="V8" s="57">
        <v>159.8</v>
      </c>
      <c r="W8" s="57">
        <v>340</v>
      </c>
      <c r="X8" s="57">
        <v>421.1</v>
      </c>
      <c r="Y8" s="57">
        <v>1081.5</v>
      </c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W9">B10+B15+B23+B31+B45+B50+B51+B58+B59+B68+B69+B84+B72+B77+B79+B78+B66+B85+B86+B87+B67+B38+B88</f>
        <v>40624.4</v>
      </c>
      <c r="C9" s="25">
        <f t="shared" si="0"/>
        <v>28255.8</v>
      </c>
      <c r="D9" s="25">
        <f t="shared" si="0"/>
        <v>1295.5</v>
      </c>
      <c r="E9" s="25">
        <f t="shared" si="0"/>
        <v>201.3</v>
      </c>
      <c r="F9" s="25">
        <f t="shared" si="0"/>
        <v>728.4000000000001</v>
      </c>
      <c r="G9" s="25">
        <f t="shared" si="0"/>
        <v>300</v>
      </c>
      <c r="H9" s="25">
        <f t="shared" si="0"/>
        <v>494.1</v>
      </c>
      <c r="I9" s="25">
        <f t="shared" si="0"/>
        <v>1053.3000000000002</v>
      </c>
      <c r="J9" s="25">
        <f t="shared" si="0"/>
        <v>296.3</v>
      </c>
      <c r="K9" s="25">
        <f t="shared" si="0"/>
        <v>281.2</v>
      </c>
      <c r="L9" s="25">
        <f t="shared" si="0"/>
        <v>226.9</v>
      </c>
      <c r="M9" s="25">
        <f t="shared" si="0"/>
        <v>18573.699999999997</v>
      </c>
      <c r="N9" s="25">
        <f t="shared" si="0"/>
        <v>559.5</v>
      </c>
      <c r="O9" s="25">
        <f t="shared" si="0"/>
        <v>555.6999999999999</v>
      </c>
      <c r="P9" s="25">
        <f t="shared" si="0"/>
        <v>726.3000000000001</v>
      </c>
      <c r="Q9" s="25">
        <f t="shared" si="0"/>
        <v>458.50000000000006</v>
      </c>
      <c r="R9" s="25">
        <f t="shared" si="0"/>
        <v>274.6</v>
      </c>
      <c r="S9" s="25">
        <f t="shared" si="0"/>
        <v>100.3</v>
      </c>
      <c r="T9" s="25">
        <f t="shared" si="0"/>
        <v>1903.4</v>
      </c>
      <c r="U9" s="25">
        <f t="shared" si="0"/>
        <v>444.6000000000001</v>
      </c>
      <c r="V9" s="25">
        <f t="shared" si="0"/>
        <v>159.8</v>
      </c>
      <c r="W9" s="25">
        <f t="shared" si="0"/>
        <v>17912</v>
      </c>
      <c r="X9" s="25">
        <f>X10+X15+X23+X31+X45+X50+X51+X58+X59+X68+X69+X84+X72+X77+X79+X78+X66+X85+X86+X87+X67+X38+X88</f>
        <v>421.1</v>
      </c>
      <c r="Y9" s="25">
        <f>Y10+Y15+Y23+Y31+Y45+Y50+Y51+Y58+Y59+Y68+Y69+Y84+Y72+Y77+Y79+Y78+Y66+Y85+Y86+Y87+Y67+Y38+Y88</f>
        <v>1081.5</v>
      </c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48047.999999999985</v>
      </c>
      <c r="AE9" s="51">
        <f>AE10+AE15+AE23+AE31+AE45+AE50+AE51+AE58+AE59+AE68+AE69+AE72+AE84+AE77+AE79+AE78+AE66+AE85+AE87+AE86+AE67+AE38+AE88</f>
        <v>20832.199999999997</v>
      </c>
      <c r="AG9" s="50"/>
    </row>
    <row r="10" spans="1:31" ht="15.75">
      <c r="A10" s="4" t="s">
        <v>4</v>
      </c>
      <c r="B10" s="23">
        <f>3483.1-216.6-183.6-293.2-111.9-181.2-146-0.1</f>
        <v>2350.5000000000005</v>
      </c>
      <c r="C10" s="23">
        <v>2074.4</v>
      </c>
      <c r="D10" s="23">
        <v>6.7</v>
      </c>
      <c r="E10" s="23"/>
      <c r="F10" s="23">
        <v>86.4</v>
      </c>
      <c r="G10" s="23">
        <v>4.2</v>
      </c>
      <c r="H10" s="23">
        <v>13.4</v>
      </c>
      <c r="I10" s="23">
        <v>5.4</v>
      </c>
      <c r="J10" s="26">
        <v>51.1</v>
      </c>
      <c r="K10" s="23"/>
      <c r="L10" s="23">
        <v>46.1</v>
      </c>
      <c r="M10" s="23">
        <v>1163.9</v>
      </c>
      <c r="N10" s="23"/>
      <c r="O10" s="28">
        <v>51.8</v>
      </c>
      <c r="P10" s="23">
        <v>29.1</v>
      </c>
      <c r="Q10" s="23">
        <v>25.9</v>
      </c>
      <c r="R10" s="23">
        <v>66.1</v>
      </c>
      <c r="S10" s="27">
        <v>23.3</v>
      </c>
      <c r="T10" s="27">
        <v>30</v>
      </c>
      <c r="U10" s="27">
        <v>5</v>
      </c>
      <c r="V10" s="23">
        <v>45.2</v>
      </c>
      <c r="W10" s="28">
        <v>1598.6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3252.2</v>
      </c>
      <c r="AE10" s="28">
        <f>B10+C10-AD10</f>
        <v>1172.7000000000007</v>
      </c>
    </row>
    <row r="11" spans="1:31" ht="15.75">
      <c r="A11" s="3" t="s">
        <v>5</v>
      </c>
      <c r="B11" s="23">
        <f>3172.9-207.6-146.1-287.3-59.2-133.4-146-0.1</f>
        <v>2193.2000000000003</v>
      </c>
      <c r="C11" s="23">
        <v>824.2</v>
      </c>
      <c r="D11" s="23"/>
      <c r="E11" s="23"/>
      <c r="F11" s="23">
        <v>24.8</v>
      </c>
      <c r="G11" s="23"/>
      <c r="H11" s="23">
        <v>12.2</v>
      </c>
      <c r="I11" s="23">
        <v>5.4</v>
      </c>
      <c r="J11" s="27"/>
      <c r="K11" s="23"/>
      <c r="L11" s="23"/>
      <c r="M11" s="23">
        <v>1162.1</v>
      </c>
      <c r="N11" s="23"/>
      <c r="O11" s="28">
        <v>1.8</v>
      </c>
      <c r="P11" s="23"/>
      <c r="Q11" s="23"/>
      <c r="R11" s="23"/>
      <c r="S11" s="27"/>
      <c r="T11" s="27"/>
      <c r="U11" s="27"/>
      <c r="V11" s="23"/>
      <c r="W11" s="27">
        <v>1593.9</v>
      </c>
      <c r="X11" s="27"/>
      <c r="Y11" s="27"/>
      <c r="Z11" s="23"/>
      <c r="AA11" s="23"/>
      <c r="AB11" s="23"/>
      <c r="AC11" s="23"/>
      <c r="AD11" s="23">
        <f t="shared" si="1"/>
        <v>2800.2</v>
      </c>
      <c r="AE11" s="28">
        <f>B11+C11-AD11</f>
        <v>217.20000000000073</v>
      </c>
    </row>
    <row r="12" spans="1:31" ht="15.75">
      <c r="A12" s="3" t="s">
        <v>2</v>
      </c>
      <c r="B12" s="37">
        <f>47.9-8.9-37.5</f>
        <v>1.5</v>
      </c>
      <c r="C12" s="23">
        <f>254.5-5.9-52.7-47.8</f>
        <v>148.09999999999997</v>
      </c>
      <c r="D12" s="23"/>
      <c r="E12" s="23"/>
      <c r="F12" s="23"/>
      <c r="G12" s="23"/>
      <c r="H12" s="23"/>
      <c r="I12" s="23"/>
      <c r="J12" s="27">
        <v>30.1</v>
      </c>
      <c r="K12" s="23"/>
      <c r="L12" s="23"/>
      <c r="M12" s="23">
        <v>1.8</v>
      </c>
      <c r="N12" s="23"/>
      <c r="O12" s="28"/>
      <c r="P12" s="23"/>
      <c r="Q12" s="23">
        <v>10.7</v>
      </c>
      <c r="R12" s="23">
        <v>4.2</v>
      </c>
      <c r="S12" s="27">
        <v>23.3</v>
      </c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70.10000000000001</v>
      </c>
      <c r="AE12" s="28">
        <f>B12+C12-AD12</f>
        <v>79.49999999999996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155.80000000000018</v>
      </c>
      <c r="C14" s="23">
        <f t="shared" si="2"/>
        <v>1102.1000000000001</v>
      </c>
      <c r="D14" s="23">
        <f t="shared" si="2"/>
        <v>6.7</v>
      </c>
      <c r="E14" s="23">
        <f t="shared" si="2"/>
        <v>0</v>
      </c>
      <c r="F14" s="23">
        <f t="shared" si="2"/>
        <v>61.60000000000001</v>
      </c>
      <c r="G14" s="23">
        <f t="shared" si="2"/>
        <v>4.2</v>
      </c>
      <c r="H14" s="23">
        <f t="shared" si="2"/>
        <v>1.200000000000001</v>
      </c>
      <c r="I14" s="23">
        <f t="shared" si="2"/>
        <v>0</v>
      </c>
      <c r="J14" s="23">
        <f t="shared" si="2"/>
        <v>21</v>
      </c>
      <c r="K14" s="23">
        <f t="shared" si="2"/>
        <v>0</v>
      </c>
      <c r="L14" s="23">
        <f t="shared" si="2"/>
        <v>46.1</v>
      </c>
      <c r="M14" s="23">
        <f t="shared" si="2"/>
        <v>1.8185453143360064E-13</v>
      </c>
      <c r="N14" s="23">
        <f t="shared" si="2"/>
        <v>0</v>
      </c>
      <c r="O14" s="23">
        <f t="shared" si="2"/>
        <v>50</v>
      </c>
      <c r="P14" s="23">
        <f t="shared" si="2"/>
        <v>29.1</v>
      </c>
      <c r="Q14" s="23">
        <f t="shared" si="2"/>
        <v>15.2</v>
      </c>
      <c r="R14" s="23">
        <f t="shared" si="2"/>
        <v>61.89999999999999</v>
      </c>
      <c r="S14" s="23">
        <f t="shared" si="2"/>
        <v>0</v>
      </c>
      <c r="T14" s="23">
        <f t="shared" si="2"/>
        <v>30</v>
      </c>
      <c r="U14" s="23">
        <f t="shared" si="2"/>
        <v>5</v>
      </c>
      <c r="V14" s="23">
        <f t="shared" si="2"/>
        <v>45.2</v>
      </c>
      <c r="W14" s="23">
        <f t="shared" si="2"/>
        <v>4.699999999999818</v>
      </c>
      <c r="X14" s="23">
        <f>X10-X11-X12-X13</f>
        <v>0</v>
      </c>
      <c r="Y14" s="23">
        <f>Y10-Y11-Y12-Y13</f>
        <v>0</v>
      </c>
      <c r="Z14" s="23">
        <f>Z10-Z11-Z12-Z13</f>
        <v>0</v>
      </c>
      <c r="AA14" s="23">
        <f>AA10-AA11-AA12-AA13</f>
        <v>0</v>
      </c>
      <c r="AB14" s="23">
        <f>AB10-AB11-AB12-AB13</f>
        <v>0</v>
      </c>
      <c r="AC14" s="23"/>
      <c r="AD14" s="28">
        <f t="shared" si="1"/>
        <v>381.9</v>
      </c>
      <c r="AE14" s="28">
        <f>AE10-AE11-AE12-AE13</f>
        <v>876</v>
      </c>
    </row>
    <row r="15" spans="1:31" ht="15" customHeight="1">
      <c r="A15" s="4" t="s">
        <v>6</v>
      </c>
      <c r="B15" s="23">
        <f>20404.6+747.3-1104.4-401.7</f>
        <v>19645.799999999996</v>
      </c>
      <c r="C15" s="23">
        <v>3767</v>
      </c>
      <c r="D15" s="45">
        <v>1083.1</v>
      </c>
      <c r="E15" s="45"/>
      <c r="F15" s="23">
        <v>41</v>
      </c>
      <c r="G15" s="23">
        <v>16.5</v>
      </c>
      <c r="H15" s="23">
        <v>23</v>
      </c>
      <c r="I15" s="23">
        <v>0.5</v>
      </c>
      <c r="J15" s="27">
        <v>0.5</v>
      </c>
      <c r="K15" s="23">
        <v>154.7</v>
      </c>
      <c r="L15" s="23">
        <v>14.7</v>
      </c>
      <c r="M15" s="23">
        <v>8651.3</v>
      </c>
      <c r="N15" s="23">
        <v>110.9</v>
      </c>
      <c r="O15" s="28">
        <v>33</v>
      </c>
      <c r="P15" s="23">
        <v>249.3</v>
      </c>
      <c r="Q15" s="28">
        <v>206.6</v>
      </c>
      <c r="R15" s="23">
        <v>51.2</v>
      </c>
      <c r="S15" s="27">
        <v>72</v>
      </c>
      <c r="T15" s="27">
        <v>269.6</v>
      </c>
      <c r="U15" s="27">
        <v>18.8</v>
      </c>
      <c r="V15" s="23"/>
      <c r="W15" s="27">
        <v>8081.2</v>
      </c>
      <c r="X15" s="27">
        <v>84.5</v>
      </c>
      <c r="Y15" s="27">
        <v>1060.5</v>
      </c>
      <c r="Z15" s="23"/>
      <c r="AA15" s="23"/>
      <c r="AB15" s="23"/>
      <c r="AC15" s="23"/>
      <c r="AD15" s="28">
        <f t="shared" si="1"/>
        <v>20222.899999999998</v>
      </c>
      <c r="AE15" s="28">
        <f aca="true" t="shared" si="3" ref="AE15:AE29">B15+C15-AD15</f>
        <v>3189.899999999998</v>
      </c>
    </row>
    <row r="16" spans="1:32" ht="15.75">
      <c r="A16" s="3" t="s">
        <v>5</v>
      </c>
      <c r="B16" s="23">
        <f>17735.3+747.3-1013.5</f>
        <v>17469.1</v>
      </c>
      <c r="C16" s="23">
        <v>2357.1</v>
      </c>
      <c r="D16" s="23">
        <v>1070.1</v>
      </c>
      <c r="E16" s="23"/>
      <c r="F16" s="23"/>
      <c r="G16" s="23"/>
      <c r="H16" s="23"/>
      <c r="I16" s="23"/>
      <c r="J16" s="27"/>
      <c r="K16" s="23"/>
      <c r="L16" s="23"/>
      <c r="M16" s="23">
        <v>7916.3</v>
      </c>
      <c r="N16" s="23"/>
      <c r="O16" s="28"/>
      <c r="P16" s="23"/>
      <c r="Q16" s="28"/>
      <c r="R16" s="23"/>
      <c r="S16" s="27"/>
      <c r="T16" s="27"/>
      <c r="U16" s="27"/>
      <c r="V16" s="23"/>
      <c r="W16" s="27">
        <v>8081.2</v>
      </c>
      <c r="X16" s="27">
        <v>84.5</v>
      </c>
      <c r="Y16" s="27">
        <v>1060.5</v>
      </c>
      <c r="Z16" s="23"/>
      <c r="AA16" s="23"/>
      <c r="AB16" s="23"/>
      <c r="AC16" s="23"/>
      <c r="AD16" s="28">
        <f t="shared" si="1"/>
        <v>18212.6</v>
      </c>
      <c r="AE16" s="28">
        <f t="shared" si="3"/>
        <v>1613.5999999999985</v>
      </c>
      <c r="AF16" s="6"/>
    </row>
    <row r="17" spans="1:31" ht="15.75">
      <c r="A17" s="3" t="s">
        <v>3</v>
      </c>
      <c r="B17" s="23">
        <f>16.1-9.6</f>
        <v>6.500000000000002</v>
      </c>
      <c r="C17" s="23">
        <f>11.7-8.9</f>
        <v>2.799999999999999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2.9</v>
      </c>
      <c r="N17" s="23">
        <v>0.1</v>
      </c>
      <c r="O17" s="28"/>
      <c r="P17" s="23">
        <v>0.2</v>
      </c>
      <c r="Q17" s="28"/>
      <c r="R17" s="23"/>
      <c r="S17" s="27">
        <v>1</v>
      </c>
      <c r="T17" s="27">
        <v>0.8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5</v>
      </c>
      <c r="AE17" s="28">
        <f t="shared" si="3"/>
        <v>4.300000000000001</v>
      </c>
    </row>
    <row r="18" spans="1:31" ht="15.75">
      <c r="A18" s="3" t="s">
        <v>1</v>
      </c>
      <c r="B18" s="23">
        <f>1610.1-77.1-24.9-0.1</f>
        <v>1508</v>
      </c>
      <c r="C18" s="23">
        <v>237.4</v>
      </c>
      <c r="D18" s="23"/>
      <c r="E18" s="23"/>
      <c r="F18" s="23"/>
      <c r="G18" s="23"/>
      <c r="H18" s="23"/>
      <c r="I18" s="23"/>
      <c r="J18" s="27"/>
      <c r="K18" s="23">
        <v>150</v>
      </c>
      <c r="L18" s="23"/>
      <c r="M18" s="23">
        <v>366.3</v>
      </c>
      <c r="N18" s="23">
        <v>105.4</v>
      </c>
      <c r="O18" s="28"/>
      <c r="P18" s="23">
        <v>229.4</v>
      </c>
      <c r="Q18" s="28">
        <v>104.9</v>
      </c>
      <c r="R18" s="23"/>
      <c r="S18" s="27">
        <v>60.2</v>
      </c>
      <c r="T18" s="27">
        <v>4.8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1020.9999999999999</v>
      </c>
      <c r="AE18" s="28">
        <f t="shared" si="3"/>
        <v>724.4000000000002</v>
      </c>
    </row>
    <row r="19" spans="1:31" ht="15.75">
      <c r="A19" s="3" t="s">
        <v>2</v>
      </c>
      <c r="B19" s="23">
        <f>807.5-4.2-367.9</f>
        <v>435.4</v>
      </c>
      <c r="C19" s="23">
        <v>406.2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364.5</v>
      </c>
      <c r="N19" s="23">
        <v>0.1</v>
      </c>
      <c r="O19" s="28"/>
      <c r="P19" s="23">
        <v>4.3</v>
      </c>
      <c r="Q19" s="28">
        <v>99.1</v>
      </c>
      <c r="R19" s="23"/>
      <c r="S19" s="27">
        <v>10.8</v>
      </c>
      <c r="T19" s="27">
        <v>194.4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673.2</v>
      </c>
      <c r="AE19" s="28">
        <f t="shared" si="3"/>
        <v>168.39999999999986</v>
      </c>
    </row>
    <row r="20" spans="1:31" ht="15.75">
      <c r="A20" s="3" t="s">
        <v>17</v>
      </c>
      <c r="B20" s="23">
        <v>7.5</v>
      </c>
      <c r="C20" s="23">
        <v>28.3</v>
      </c>
      <c r="D20" s="23">
        <v>5.4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5.4</v>
      </c>
      <c r="AE20" s="28">
        <f t="shared" si="3"/>
        <v>30.4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219.2999999999971</v>
      </c>
      <c r="C22" s="23">
        <f t="shared" si="4"/>
        <v>735.2</v>
      </c>
      <c r="D22" s="23">
        <f t="shared" si="4"/>
        <v>7.6</v>
      </c>
      <c r="E22" s="23">
        <f t="shared" si="4"/>
        <v>0</v>
      </c>
      <c r="F22" s="23">
        <f t="shared" si="4"/>
        <v>41</v>
      </c>
      <c r="G22" s="23">
        <f t="shared" si="4"/>
        <v>16.5</v>
      </c>
      <c r="H22" s="23">
        <f t="shared" si="4"/>
        <v>23</v>
      </c>
      <c r="I22" s="23">
        <f t="shared" si="4"/>
        <v>0.5</v>
      </c>
      <c r="J22" s="23">
        <f t="shared" si="4"/>
        <v>0.5</v>
      </c>
      <c r="K22" s="23">
        <f t="shared" si="4"/>
        <v>4.699999999999989</v>
      </c>
      <c r="L22" s="23">
        <f t="shared" si="4"/>
        <v>14.7</v>
      </c>
      <c r="M22" s="23">
        <f t="shared" si="4"/>
        <v>1.2999999999991019</v>
      </c>
      <c r="N22" s="23">
        <f t="shared" si="4"/>
        <v>5.300000000000006</v>
      </c>
      <c r="O22" s="23">
        <f t="shared" si="4"/>
        <v>33</v>
      </c>
      <c r="P22" s="23">
        <f t="shared" si="4"/>
        <v>15.400000000000016</v>
      </c>
      <c r="Q22" s="23">
        <f t="shared" si="4"/>
        <v>2.5999999999999943</v>
      </c>
      <c r="R22" s="23">
        <f t="shared" si="4"/>
        <v>51.2</v>
      </c>
      <c r="S22" s="23">
        <f t="shared" si="4"/>
        <v>-3.552713678800501E-15</v>
      </c>
      <c r="T22" s="23">
        <f t="shared" si="4"/>
        <v>69.6</v>
      </c>
      <c r="U22" s="23">
        <f t="shared" si="4"/>
        <v>18.8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305.6999999999991</v>
      </c>
      <c r="AE22" s="28">
        <f t="shared" si="3"/>
        <v>648.7999999999981</v>
      </c>
    </row>
    <row r="23" spans="1:31" ht="15" customHeight="1">
      <c r="A23" s="4" t="s">
        <v>7</v>
      </c>
      <c r="B23" s="23">
        <f>15603-4372.8-0.2</f>
        <v>11230</v>
      </c>
      <c r="C23" s="23">
        <f>8183.1-2000</f>
        <v>6183.1</v>
      </c>
      <c r="D23" s="23">
        <v>155.1</v>
      </c>
      <c r="E23" s="23"/>
      <c r="F23" s="23">
        <v>34</v>
      </c>
      <c r="G23" s="23">
        <v>126</v>
      </c>
      <c r="H23" s="23">
        <v>149</v>
      </c>
      <c r="I23" s="23">
        <v>41.2</v>
      </c>
      <c r="J23" s="27"/>
      <c r="K23" s="23">
        <v>26</v>
      </c>
      <c r="L23" s="23">
        <v>29.3</v>
      </c>
      <c r="M23" s="23">
        <v>6713.2</v>
      </c>
      <c r="N23" s="23">
        <v>147.4</v>
      </c>
      <c r="O23" s="28">
        <v>129.1</v>
      </c>
      <c r="P23" s="23">
        <v>121.8</v>
      </c>
      <c r="Q23" s="28">
        <v>17.4</v>
      </c>
      <c r="R23" s="28">
        <v>38.6</v>
      </c>
      <c r="S23" s="27">
        <v>2.7</v>
      </c>
      <c r="T23" s="27">
        <v>609.7</v>
      </c>
      <c r="U23" s="27">
        <v>82.8</v>
      </c>
      <c r="V23" s="23"/>
      <c r="W23" s="27">
        <v>6325.6</v>
      </c>
      <c r="X23" s="27">
        <v>330.1</v>
      </c>
      <c r="Y23" s="27">
        <v>7.5</v>
      </c>
      <c r="Z23" s="23"/>
      <c r="AA23" s="23"/>
      <c r="AB23" s="23"/>
      <c r="AC23" s="23"/>
      <c r="AD23" s="28">
        <f t="shared" si="1"/>
        <v>15086.5</v>
      </c>
      <c r="AE23" s="28">
        <f t="shared" si="3"/>
        <v>2326.5999999999985</v>
      </c>
    </row>
    <row r="24" spans="1:32" ht="15.75">
      <c r="A24" s="3" t="s">
        <v>5</v>
      </c>
      <c r="B24" s="23">
        <f>12968.5-3273.4</f>
        <v>9695.1</v>
      </c>
      <c r="C24" s="23">
        <v>2733.7</v>
      </c>
      <c r="D24" s="23">
        <v>155.1</v>
      </c>
      <c r="E24" s="23"/>
      <c r="F24" s="23">
        <v>0.3</v>
      </c>
      <c r="G24" s="23"/>
      <c r="H24" s="23"/>
      <c r="I24" s="23">
        <v>41.2</v>
      </c>
      <c r="J24" s="27"/>
      <c r="K24" s="23"/>
      <c r="L24" s="23"/>
      <c r="M24" s="23">
        <v>5904.4</v>
      </c>
      <c r="N24" s="23"/>
      <c r="O24" s="28"/>
      <c r="P24" s="23"/>
      <c r="Q24" s="28"/>
      <c r="R24" s="23"/>
      <c r="S24" s="27"/>
      <c r="T24" s="27"/>
      <c r="U24" s="27"/>
      <c r="V24" s="23"/>
      <c r="W24" s="27">
        <v>6325.6</v>
      </c>
      <c r="X24" s="27"/>
      <c r="Y24" s="27"/>
      <c r="Z24" s="23"/>
      <c r="AA24" s="23"/>
      <c r="AB24" s="23"/>
      <c r="AC24" s="23"/>
      <c r="AD24" s="28">
        <f t="shared" si="1"/>
        <v>12426.6</v>
      </c>
      <c r="AE24" s="28">
        <f t="shared" si="3"/>
        <v>2.1999999999989086</v>
      </c>
      <c r="AF24" s="6"/>
    </row>
    <row r="25" spans="1:31" ht="15.75">
      <c r="A25" s="3" t="s">
        <v>3</v>
      </c>
      <c r="B25" s="23">
        <v>613.6</v>
      </c>
      <c r="C25" s="23">
        <f>2388.9-2069.2</f>
        <v>319.7000000000003</v>
      </c>
      <c r="D25" s="23"/>
      <c r="E25" s="23"/>
      <c r="F25" s="23"/>
      <c r="G25" s="23"/>
      <c r="H25" s="23"/>
      <c r="I25" s="23"/>
      <c r="J25" s="27"/>
      <c r="K25" s="23">
        <v>26</v>
      </c>
      <c r="L25" s="23"/>
      <c r="M25" s="23">
        <v>291.1</v>
      </c>
      <c r="N25" s="23">
        <v>39.2</v>
      </c>
      <c r="O25" s="28"/>
      <c r="P25" s="23"/>
      <c r="Q25" s="28">
        <v>2</v>
      </c>
      <c r="R25" s="23"/>
      <c r="S25" s="27">
        <v>2.7</v>
      </c>
      <c r="T25" s="27">
        <v>296.1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657.1</v>
      </c>
      <c r="AE25" s="28">
        <f t="shared" si="3"/>
        <v>276.2000000000003</v>
      </c>
    </row>
    <row r="26" spans="1:31" ht="15.75">
      <c r="A26" s="3" t="s">
        <v>1</v>
      </c>
      <c r="B26" s="23">
        <f>303.2-17.3-285.1+0.1</f>
        <v>0.8999999999999545</v>
      </c>
      <c r="C26" s="23">
        <v>343.2</v>
      </c>
      <c r="D26" s="23"/>
      <c r="E26" s="23"/>
      <c r="F26" s="23"/>
      <c r="G26" s="23"/>
      <c r="H26" s="23">
        <v>122.4</v>
      </c>
      <c r="I26" s="23"/>
      <c r="J26" s="27"/>
      <c r="K26" s="23"/>
      <c r="L26" s="23"/>
      <c r="M26" s="23">
        <v>32</v>
      </c>
      <c r="N26" s="23">
        <v>45.4</v>
      </c>
      <c r="O26" s="28"/>
      <c r="P26" s="23"/>
      <c r="Q26" s="28"/>
      <c r="R26" s="23"/>
      <c r="S26" s="27"/>
      <c r="T26" s="27">
        <v>109.8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309.6</v>
      </c>
      <c r="AE26" s="28">
        <f t="shared" si="3"/>
        <v>34.49999999999994</v>
      </c>
    </row>
    <row r="27" spans="1:31" ht="15.75">
      <c r="A27" s="3" t="s">
        <v>2</v>
      </c>
      <c r="B27" s="23">
        <f>663.4+17.3</f>
        <v>680.6999999999999</v>
      </c>
      <c r="C27" s="23">
        <f>789.9-745.1</f>
        <v>44.799999999999955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309.1</v>
      </c>
      <c r="N27" s="23">
        <v>54.7</v>
      </c>
      <c r="O27" s="28">
        <v>82.9</v>
      </c>
      <c r="P27" s="23"/>
      <c r="Q27" s="28"/>
      <c r="R27" s="23"/>
      <c r="S27" s="27"/>
      <c r="T27" s="27">
        <v>106.4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553.1</v>
      </c>
      <c r="AE27" s="28">
        <f t="shared" si="3"/>
        <v>172.39999999999986</v>
      </c>
    </row>
    <row r="28" spans="1:31" ht="15.75">
      <c r="A28" s="3" t="s">
        <v>17</v>
      </c>
      <c r="B28" s="23">
        <f>114.7+0.1</f>
        <v>114.8</v>
      </c>
      <c r="C28" s="23">
        <v>141.6</v>
      </c>
      <c r="D28" s="23"/>
      <c r="E28" s="23"/>
      <c r="F28" s="23"/>
      <c r="G28" s="23">
        <v>114.2</v>
      </c>
      <c r="H28" s="23"/>
      <c r="I28" s="23"/>
      <c r="J28" s="27"/>
      <c r="K28" s="23"/>
      <c r="L28" s="23"/>
      <c r="M28" s="23"/>
      <c r="N28" s="23"/>
      <c r="O28" s="28"/>
      <c r="P28" s="23">
        <v>52.3</v>
      </c>
      <c r="Q28" s="28"/>
      <c r="R28" s="23"/>
      <c r="S28" s="27"/>
      <c r="T28" s="27"/>
      <c r="U28" s="27">
        <v>53.9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220.4</v>
      </c>
      <c r="AE28" s="28">
        <f t="shared" si="3"/>
        <v>35.99999999999997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124.89999999999971</v>
      </c>
      <c r="C30" s="23">
        <f>C23-C24-C25-C26-C27-C28-C29</f>
        <v>2600.100000000001</v>
      </c>
      <c r="D30" s="23">
        <f>D23-D24-D25-D26-D27-D28-D29</f>
        <v>0</v>
      </c>
      <c r="E30" s="23">
        <f>E23-E24-E25-E26-E27-E28-E29</f>
        <v>0</v>
      </c>
      <c r="F30" s="23">
        <f aca="true" t="shared" si="5" ref="F30:AB30">F23-F24-F25-F26-F27-F28-F29</f>
        <v>33.7</v>
      </c>
      <c r="G30" s="23">
        <f t="shared" si="5"/>
        <v>11.799999999999997</v>
      </c>
      <c r="H30" s="23">
        <f t="shared" si="5"/>
        <v>26.599999999999994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29.3</v>
      </c>
      <c r="M30" s="23">
        <f t="shared" si="5"/>
        <v>176.60000000000014</v>
      </c>
      <c r="N30" s="23">
        <f t="shared" si="5"/>
        <v>8.100000000000001</v>
      </c>
      <c r="O30" s="23">
        <f t="shared" si="5"/>
        <v>46.19999999999999</v>
      </c>
      <c r="P30" s="23">
        <f t="shared" si="5"/>
        <v>69.5</v>
      </c>
      <c r="Q30" s="23">
        <f t="shared" si="5"/>
        <v>15.399999999999999</v>
      </c>
      <c r="R30" s="23">
        <f t="shared" si="5"/>
        <v>38.6</v>
      </c>
      <c r="S30" s="23">
        <f t="shared" si="5"/>
        <v>0</v>
      </c>
      <c r="T30" s="23">
        <f t="shared" si="5"/>
        <v>97.4</v>
      </c>
      <c r="U30" s="23">
        <f t="shared" si="5"/>
        <v>28.9</v>
      </c>
      <c r="V30" s="23">
        <f t="shared" si="5"/>
        <v>0</v>
      </c>
      <c r="W30" s="23">
        <f t="shared" si="5"/>
        <v>0</v>
      </c>
      <c r="X30" s="23">
        <f t="shared" si="5"/>
        <v>330.1</v>
      </c>
      <c r="Y30" s="23">
        <f t="shared" si="5"/>
        <v>7.5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919.7000000000002</v>
      </c>
      <c r="AE30" s="28">
        <f>AE23-AE24-AE25-AE26-AE27-AE28-AE29</f>
        <v>1805.2999999999995</v>
      </c>
    </row>
    <row r="31" spans="1:31" ht="15" customHeight="1">
      <c r="A31" s="4" t="s">
        <v>8</v>
      </c>
      <c r="B31" s="23">
        <f>126.2-23.8+0.1</f>
        <v>102.5</v>
      </c>
      <c r="C31" s="23">
        <v>27.3</v>
      </c>
      <c r="D31" s="23"/>
      <c r="E31" s="23"/>
      <c r="F31" s="23">
        <v>0.3</v>
      </c>
      <c r="G31" s="23"/>
      <c r="H31" s="23">
        <v>1.3</v>
      </c>
      <c r="I31" s="23"/>
      <c r="J31" s="27">
        <v>0.9</v>
      </c>
      <c r="K31" s="23"/>
      <c r="L31" s="23"/>
      <c r="M31" s="23">
        <v>44.2</v>
      </c>
      <c r="N31" s="23"/>
      <c r="O31" s="28"/>
      <c r="P31" s="23"/>
      <c r="Q31" s="28">
        <v>1.2</v>
      </c>
      <c r="R31" s="23"/>
      <c r="S31" s="27"/>
      <c r="T31" s="27">
        <v>0.2</v>
      </c>
      <c r="U31" s="27"/>
      <c r="V31" s="27"/>
      <c r="W31" s="27">
        <v>67.6</v>
      </c>
      <c r="X31" s="27"/>
      <c r="Y31" s="27"/>
      <c r="Z31" s="23"/>
      <c r="AA31" s="23"/>
      <c r="AB31" s="23"/>
      <c r="AC31" s="23"/>
      <c r="AD31" s="28">
        <f t="shared" si="1"/>
        <v>115.7</v>
      </c>
      <c r="AE31" s="28">
        <f aca="true" t="shared" si="6" ref="AE31:AE36">B31+C31-AD31</f>
        <v>14.100000000000009</v>
      </c>
    </row>
    <row r="32" spans="1:31" ht="15.75">
      <c r="A32" s="3" t="s">
        <v>5</v>
      </c>
      <c r="B32" s="23">
        <f>118.5-18.9-0.1</f>
        <v>99.5</v>
      </c>
      <c r="C32" s="23">
        <v>12.3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44.2</v>
      </c>
      <c r="N32" s="23"/>
      <c r="O32" s="23"/>
      <c r="P32" s="23"/>
      <c r="Q32" s="28"/>
      <c r="R32" s="23"/>
      <c r="S32" s="27"/>
      <c r="T32" s="27"/>
      <c r="U32" s="27"/>
      <c r="V32" s="27"/>
      <c r="W32" s="27">
        <v>67.6</v>
      </c>
      <c r="X32" s="27"/>
      <c r="Y32" s="27"/>
      <c r="Z32" s="23"/>
      <c r="AA32" s="23"/>
      <c r="AB32" s="23"/>
      <c r="AC32" s="23"/>
      <c r="AD32" s="28">
        <f t="shared" si="1"/>
        <v>111.8</v>
      </c>
      <c r="AE32" s="28">
        <f t="shared" si="6"/>
        <v>0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2.5</v>
      </c>
      <c r="C34" s="23">
        <f>5.5-4.9</f>
        <v>0.5999999999999996</v>
      </c>
      <c r="D34" s="23"/>
      <c r="E34" s="23"/>
      <c r="F34" s="23"/>
      <c r="G34" s="23"/>
      <c r="H34" s="23"/>
      <c r="I34" s="23"/>
      <c r="J34" s="27">
        <v>0.9</v>
      </c>
      <c r="K34" s="23"/>
      <c r="L34" s="23"/>
      <c r="M34" s="23"/>
      <c r="N34" s="23"/>
      <c r="O34" s="28"/>
      <c r="P34" s="23"/>
      <c r="Q34" s="28">
        <v>0.8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1.7000000000000002</v>
      </c>
      <c r="AE34" s="28">
        <f t="shared" si="6"/>
        <v>1.3999999999999995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>B31-B32-B34-B36-B35-B33</f>
        <v>0.5</v>
      </c>
      <c r="C37" s="23">
        <f>C31-C32-C34-C36-C35-C33</f>
        <v>14.4</v>
      </c>
      <c r="D37" s="23">
        <f>D31-D32-D34-D36-D35-D33</f>
        <v>0</v>
      </c>
      <c r="E37" s="23">
        <f>E31-E32-E34-E36-E35-E33</f>
        <v>0</v>
      </c>
      <c r="F37" s="23">
        <f aca="true" t="shared" si="7" ref="F37:AB37">F31-F32-F34-F36-F35-F33</f>
        <v>0.3</v>
      </c>
      <c r="G37" s="23">
        <f t="shared" si="7"/>
        <v>0</v>
      </c>
      <c r="H37" s="23">
        <f t="shared" si="7"/>
        <v>1.3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0.3999999999999999</v>
      </c>
      <c r="R37" s="23">
        <f t="shared" si="7"/>
        <v>0</v>
      </c>
      <c r="S37" s="23">
        <f t="shared" si="7"/>
        <v>0</v>
      </c>
      <c r="T37" s="23">
        <f t="shared" si="7"/>
        <v>0.2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2.2</v>
      </c>
      <c r="AE37" s="28">
        <f>AE31-AE32-AE34-AE36-AE33-AE35</f>
        <v>12.70000000000001</v>
      </c>
    </row>
    <row r="38" spans="1:31" ht="15" customHeight="1">
      <c r="A38" s="4" t="s">
        <v>35</v>
      </c>
      <c r="B38" s="23">
        <f>471.3-107.4-0.1</f>
        <v>363.79999999999995</v>
      </c>
      <c r="C38" s="23">
        <v>160.1</v>
      </c>
      <c r="D38" s="23"/>
      <c r="E38" s="23"/>
      <c r="F38" s="23"/>
      <c r="G38" s="23"/>
      <c r="H38" s="23"/>
      <c r="I38" s="23"/>
      <c r="J38" s="27">
        <v>2.5</v>
      </c>
      <c r="K38" s="23">
        <v>0.5</v>
      </c>
      <c r="L38" s="23">
        <v>0.1</v>
      </c>
      <c r="M38" s="23">
        <v>200.4</v>
      </c>
      <c r="N38" s="23">
        <v>0.6</v>
      </c>
      <c r="O38" s="28">
        <v>6.2</v>
      </c>
      <c r="P38" s="23"/>
      <c r="Q38" s="28"/>
      <c r="R38" s="28"/>
      <c r="S38" s="27"/>
      <c r="T38" s="27"/>
      <c r="U38" s="27">
        <v>1.3</v>
      </c>
      <c r="V38" s="23"/>
      <c r="W38" s="27">
        <v>217.6</v>
      </c>
      <c r="X38" s="27"/>
      <c r="Y38" s="27"/>
      <c r="Z38" s="23"/>
      <c r="AA38" s="23"/>
      <c r="AB38" s="23"/>
      <c r="AC38" s="23"/>
      <c r="AD38" s="28">
        <f t="shared" si="1"/>
        <v>429.2</v>
      </c>
      <c r="AE38" s="28">
        <f aca="true" t="shared" si="8" ref="AE38:AE43">B38+C38-AD38</f>
        <v>94.69999999999999</v>
      </c>
    </row>
    <row r="39" spans="1:32" ht="15.75">
      <c r="A39" s="3" t="s">
        <v>5</v>
      </c>
      <c r="B39" s="23">
        <f>450.5-91.6</f>
        <v>358.9</v>
      </c>
      <c r="C39" s="23">
        <v>52.3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193.6</v>
      </c>
      <c r="N39" s="23"/>
      <c r="O39" s="28"/>
      <c r="P39" s="23"/>
      <c r="Q39" s="28"/>
      <c r="R39" s="23"/>
      <c r="S39" s="27"/>
      <c r="T39" s="27"/>
      <c r="U39" s="27"/>
      <c r="V39" s="23"/>
      <c r="W39" s="27">
        <v>217.6</v>
      </c>
      <c r="X39" s="27"/>
      <c r="Y39" s="27"/>
      <c r="Z39" s="23"/>
      <c r="AA39" s="23"/>
      <c r="AB39" s="23"/>
      <c r="AC39" s="23"/>
      <c r="AD39" s="28">
        <f t="shared" si="1"/>
        <v>411.2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>
        <v>0.2</v>
      </c>
      <c r="D40" s="23"/>
      <c r="E40" s="23"/>
      <c r="F40" s="23"/>
      <c r="G40" s="23"/>
      <c r="H40" s="23"/>
      <c r="I40" s="23"/>
      <c r="J40" s="27">
        <v>0.2</v>
      </c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0.2</v>
      </c>
      <c r="AE40" s="28">
        <f t="shared" si="8"/>
        <v>0</v>
      </c>
    </row>
    <row r="41" spans="1:31" ht="15.75">
      <c r="A41" s="3" t="s">
        <v>1</v>
      </c>
      <c r="B41" s="23">
        <v>0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0</v>
      </c>
    </row>
    <row r="42" spans="1:31" ht="15.75">
      <c r="A42" s="3" t="s">
        <v>2</v>
      </c>
      <c r="B42" s="23">
        <v>2.2</v>
      </c>
      <c r="C42" s="23">
        <f>13.6-11.9</f>
        <v>1.6999999999999993</v>
      </c>
      <c r="D42" s="23"/>
      <c r="E42" s="23"/>
      <c r="F42" s="23"/>
      <c r="G42" s="23"/>
      <c r="H42" s="23"/>
      <c r="I42" s="23"/>
      <c r="J42" s="27">
        <v>2.3</v>
      </c>
      <c r="K42" s="23"/>
      <c r="L42" s="23"/>
      <c r="M42" s="23">
        <v>0.3</v>
      </c>
      <c r="N42" s="23"/>
      <c r="O42" s="28"/>
      <c r="P42" s="23"/>
      <c r="Q42" s="28"/>
      <c r="R42" s="23"/>
      <c r="S42" s="27"/>
      <c r="T42" s="27"/>
      <c r="U42" s="27">
        <v>1.3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3.8999999999999995</v>
      </c>
      <c r="AE42" s="28">
        <f t="shared" si="8"/>
        <v>0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>B38-B39-B40-B41-B42-B43</f>
        <v>2.699999999999977</v>
      </c>
      <c r="C44" s="23">
        <f>C38-C39-C40-C41-C42-C43</f>
        <v>105.89999999999999</v>
      </c>
      <c r="D44" s="23">
        <f>D38-D39-D40-D41-D42-D43</f>
        <v>0</v>
      </c>
      <c r="E44" s="23">
        <f>E38-E39-E40-E41-E42-E43</f>
        <v>0</v>
      </c>
      <c r="F44" s="23">
        <f aca="true" t="shared" si="9" ref="F44:AB44">F38-F39-F40-F41-F42-F43</f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0.5</v>
      </c>
      <c r="L44" s="23">
        <f t="shared" si="9"/>
        <v>0.1</v>
      </c>
      <c r="M44" s="23">
        <f t="shared" si="9"/>
        <v>6.5000000000000115</v>
      </c>
      <c r="N44" s="23">
        <f t="shared" si="9"/>
        <v>0.6</v>
      </c>
      <c r="O44" s="23">
        <f t="shared" si="9"/>
        <v>6.2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13.900000000000011</v>
      </c>
      <c r="AE44" s="28">
        <f>AE38-AE39-AE40-AE41-AE42-AE43</f>
        <v>94.69999999999999</v>
      </c>
    </row>
    <row r="45" spans="1:31" ht="15" customHeight="1">
      <c r="A45" s="4" t="s">
        <v>15</v>
      </c>
      <c r="B45" s="37">
        <v>439.9</v>
      </c>
      <c r="C45" s="23">
        <v>765.9</v>
      </c>
      <c r="D45" s="23">
        <v>5.2</v>
      </c>
      <c r="E45" s="29"/>
      <c r="F45" s="29">
        <v>40.4</v>
      </c>
      <c r="G45" s="29"/>
      <c r="H45" s="29">
        <v>151.6</v>
      </c>
      <c r="I45" s="29">
        <v>216.7</v>
      </c>
      <c r="J45" s="30">
        <v>17.6</v>
      </c>
      <c r="K45" s="29"/>
      <c r="L45" s="29"/>
      <c r="M45" s="29">
        <v>15.4</v>
      </c>
      <c r="N45" s="29"/>
      <c r="O45" s="32"/>
      <c r="P45" s="29">
        <v>54</v>
      </c>
      <c r="Q45" s="29"/>
      <c r="R45" s="29">
        <v>7.7</v>
      </c>
      <c r="S45" s="30"/>
      <c r="T45" s="30">
        <v>119.6</v>
      </c>
      <c r="U45" s="29">
        <v>15.7</v>
      </c>
      <c r="V45" s="29"/>
      <c r="W45" s="30"/>
      <c r="X45" s="30">
        <v>6.5</v>
      </c>
      <c r="Y45" s="30"/>
      <c r="Z45" s="29"/>
      <c r="AA45" s="29"/>
      <c r="AB45" s="29"/>
      <c r="AC45" s="29"/>
      <c r="AD45" s="28">
        <f t="shared" si="1"/>
        <v>650.4</v>
      </c>
      <c r="AE45" s="28">
        <f>B45+C45-AD45</f>
        <v>555.4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408.6</v>
      </c>
      <c r="C47" s="23">
        <v>711.5</v>
      </c>
      <c r="D47" s="23">
        <v>5.1</v>
      </c>
      <c r="E47" s="23"/>
      <c r="F47" s="23">
        <v>16.7</v>
      </c>
      <c r="G47" s="23"/>
      <c r="H47" s="23">
        <v>151</v>
      </c>
      <c r="I47" s="23">
        <v>216.3</v>
      </c>
      <c r="J47" s="27">
        <v>17.4</v>
      </c>
      <c r="K47" s="23"/>
      <c r="L47" s="23"/>
      <c r="M47" s="23">
        <v>13.8</v>
      </c>
      <c r="N47" s="23"/>
      <c r="O47" s="28"/>
      <c r="P47" s="23">
        <v>53.7</v>
      </c>
      <c r="Q47" s="23"/>
      <c r="R47" s="23">
        <v>7.6</v>
      </c>
      <c r="S47" s="27"/>
      <c r="T47" s="27">
        <v>119.5</v>
      </c>
      <c r="U47" s="23">
        <v>15.5</v>
      </c>
      <c r="V47" s="23"/>
      <c r="W47" s="27"/>
      <c r="X47" s="27">
        <v>6.4</v>
      </c>
      <c r="Y47" s="27"/>
      <c r="Z47" s="23"/>
      <c r="AA47" s="23"/>
      <c r="AB47" s="23"/>
      <c r="AC47" s="23"/>
      <c r="AD47" s="28">
        <f t="shared" si="1"/>
        <v>623</v>
      </c>
      <c r="AE47" s="28">
        <f>B47+C47-AD47</f>
        <v>497.0999999999999</v>
      </c>
    </row>
    <row r="48" spans="1:31" ht="30">
      <c r="A48" s="65" t="s">
        <v>63</v>
      </c>
      <c r="B48" s="23">
        <v>67.8</v>
      </c>
      <c r="C48" s="23">
        <v>131</v>
      </c>
      <c r="D48" s="23">
        <v>5.2</v>
      </c>
      <c r="E48" s="23"/>
      <c r="F48" s="23">
        <v>16.9</v>
      </c>
      <c r="G48" s="23"/>
      <c r="H48" s="23">
        <v>34.4</v>
      </c>
      <c r="I48" s="23"/>
      <c r="J48" s="23">
        <v>10.6</v>
      </c>
      <c r="K48" s="23"/>
      <c r="L48" s="23"/>
      <c r="M48" s="23">
        <v>13.9</v>
      </c>
      <c r="N48" s="23"/>
      <c r="O48" s="23"/>
      <c r="P48" s="23">
        <v>13.1</v>
      </c>
      <c r="Q48" s="23"/>
      <c r="R48" s="23">
        <v>2.6</v>
      </c>
      <c r="S48" s="23"/>
      <c r="T48" s="23"/>
      <c r="U48" s="23">
        <v>3.8</v>
      </c>
      <c r="V48" s="23"/>
      <c r="W48" s="23"/>
      <c r="X48" s="23">
        <v>6.5</v>
      </c>
      <c r="Y48" s="23"/>
      <c r="Z48" s="23"/>
      <c r="AA48" s="23"/>
      <c r="AB48" s="23"/>
      <c r="AC48" s="23"/>
      <c r="AD48" s="28">
        <f t="shared" si="1"/>
        <v>106.99999999999999</v>
      </c>
      <c r="AE48" s="28">
        <f>B48+C48-AD48</f>
        <v>91.80000000000003</v>
      </c>
    </row>
    <row r="49" spans="1:31" ht="15.75">
      <c r="A49" s="64" t="s">
        <v>26</v>
      </c>
      <c r="B49" s="23">
        <f>B45-B46-B47</f>
        <v>31.299999999999955</v>
      </c>
      <c r="C49" s="23">
        <f>C45-C46-C47</f>
        <v>54.39999999999998</v>
      </c>
      <c r="D49" s="23">
        <f aca="true" t="shared" si="10" ref="D49:AB49">D45-D46-D47</f>
        <v>0.10000000000000053</v>
      </c>
      <c r="E49" s="23">
        <f t="shared" si="10"/>
        <v>0</v>
      </c>
      <c r="F49" s="23">
        <f t="shared" si="10"/>
        <v>23.7</v>
      </c>
      <c r="G49" s="23">
        <f t="shared" si="10"/>
        <v>0</v>
      </c>
      <c r="H49" s="23">
        <f t="shared" si="10"/>
        <v>0.5999999999999943</v>
      </c>
      <c r="I49" s="23">
        <f t="shared" si="10"/>
        <v>0.39999999999997726</v>
      </c>
      <c r="J49" s="23">
        <f t="shared" si="10"/>
        <v>0.20000000000000284</v>
      </c>
      <c r="K49" s="23">
        <f t="shared" si="10"/>
        <v>0</v>
      </c>
      <c r="L49" s="23">
        <f t="shared" si="10"/>
        <v>0</v>
      </c>
      <c r="M49" s="23">
        <f t="shared" si="10"/>
        <v>1.5999999999999996</v>
      </c>
      <c r="N49" s="23">
        <f t="shared" si="10"/>
        <v>0</v>
      </c>
      <c r="O49" s="23">
        <f t="shared" si="10"/>
        <v>0</v>
      </c>
      <c r="P49" s="23">
        <f t="shared" si="10"/>
        <v>0.29999999999999716</v>
      </c>
      <c r="Q49" s="23">
        <f t="shared" si="10"/>
        <v>0</v>
      </c>
      <c r="R49" s="23">
        <f t="shared" si="10"/>
        <v>0.10000000000000053</v>
      </c>
      <c r="S49" s="23">
        <f t="shared" si="10"/>
        <v>0</v>
      </c>
      <c r="T49" s="23">
        <f t="shared" si="10"/>
        <v>0.09999999999999432</v>
      </c>
      <c r="U49" s="23">
        <f t="shared" si="10"/>
        <v>0.1999999999999993</v>
      </c>
      <c r="V49" s="23">
        <f t="shared" si="10"/>
        <v>0</v>
      </c>
      <c r="W49" s="23">
        <f t="shared" si="10"/>
        <v>0</v>
      </c>
      <c r="X49" s="23">
        <f t="shared" si="10"/>
        <v>0.09999999999999964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27.399999999999963</v>
      </c>
      <c r="AE49" s="28">
        <f>AE45-AE47-AE46</f>
        <v>58.30000000000007</v>
      </c>
    </row>
    <row r="50" spans="1:31" ht="15" customHeight="1">
      <c r="A50" s="4" t="s">
        <v>0</v>
      </c>
      <c r="B50" s="23">
        <f>3324.7-581+0.1</f>
        <v>2743.7999999999997</v>
      </c>
      <c r="C50" s="23">
        <v>9344.9</v>
      </c>
      <c r="D50" s="23"/>
      <c r="E50" s="23">
        <v>201.3</v>
      </c>
      <c r="F50" s="23">
        <v>152.3</v>
      </c>
      <c r="G50" s="23">
        <v>100</v>
      </c>
      <c r="H50" s="23">
        <v>150</v>
      </c>
      <c r="I50" s="23">
        <v>284.1</v>
      </c>
      <c r="J50" s="27">
        <v>175.2</v>
      </c>
      <c r="K50" s="23">
        <v>100</v>
      </c>
      <c r="L50" s="23">
        <v>100</v>
      </c>
      <c r="M50" s="23">
        <v>251</v>
      </c>
      <c r="N50" s="23">
        <v>300</v>
      </c>
      <c r="O50" s="28">
        <v>150</v>
      </c>
      <c r="P50" s="23">
        <v>250</v>
      </c>
      <c r="Q50" s="23">
        <v>155.5</v>
      </c>
      <c r="R50" s="23">
        <v>100</v>
      </c>
      <c r="S50" s="27"/>
      <c r="T50" s="27">
        <v>800</v>
      </c>
      <c r="U50" s="27">
        <v>200</v>
      </c>
      <c r="V50" s="23">
        <v>114.6</v>
      </c>
      <c r="W50" s="27">
        <v>120</v>
      </c>
      <c r="X50" s="27"/>
      <c r="Y50" s="27"/>
      <c r="Z50" s="23"/>
      <c r="AA50" s="23"/>
      <c r="AB50" s="23"/>
      <c r="AC50" s="23"/>
      <c r="AD50" s="28">
        <f t="shared" si="1"/>
        <v>3704</v>
      </c>
      <c r="AE50" s="28">
        <f aca="true" t="shared" si="11" ref="AE50:AE56">B50+C50-AD50</f>
        <v>8384.699999999999</v>
      </c>
    </row>
    <row r="51" spans="1:32" ht="15" customHeight="1">
      <c r="A51" s="4" t="s">
        <v>9</v>
      </c>
      <c r="B51" s="45">
        <f>2538.1+16.7-9.8+0.2</f>
        <v>2545.1999999999994</v>
      </c>
      <c r="C51" s="23">
        <f>2146.9-978.2</f>
        <v>1168.7</v>
      </c>
      <c r="D51" s="23"/>
      <c r="E51" s="23"/>
      <c r="F51" s="23">
        <v>171.3</v>
      </c>
      <c r="G51" s="23">
        <v>53.1</v>
      </c>
      <c r="H51" s="23">
        <v>0.2</v>
      </c>
      <c r="I51" s="23">
        <v>342.9</v>
      </c>
      <c r="J51" s="27">
        <v>9.4</v>
      </c>
      <c r="K51" s="23"/>
      <c r="L51" s="23">
        <v>32.2</v>
      </c>
      <c r="M51" s="23">
        <v>1170.6</v>
      </c>
      <c r="N51" s="23">
        <v>0.6</v>
      </c>
      <c r="O51" s="28">
        <v>55.3</v>
      </c>
      <c r="P51" s="23"/>
      <c r="Q51" s="28">
        <v>47.3</v>
      </c>
      <c r="R51" s="23">
        <v>0.1</v>
      </c>
      <c r="S51" s="27"/>
      <c r="T51" s="27">
        <v>0.4</v>
      </c>
      <c r="U51" s="27">
        <v>1.1</v>
      </c>
      <c r="V51" s="23"/>
      <c r="W51" s="27">
        <v>1086.2</v>
      </c>
      <c r="X51" s="27"/>
      <c r="Y51" s="27"/>
      <c r="Z51" s="23"/>
      <c r="AA51" s="23"/>
      <c r="AB51" s="23"/>
      <c r="AC51" s="23"/>
      <c r="AD51" s="28">
        <f t="shared" si="1"/>
        <v>2970.7</v>
      </c>
      <c r="AE51" s="23">
        <f t="shared" si="11"/>
        <v>743.1999999999998</v>
      </c>
      <c r="AF51" s="6"/>
    </row>
    <row r="52" spans="1:32" ht="15.75">
      <c r="A52" s="3" t="s">
        <v>5</v>
      </c>
      <c r="B52" s="23">
        <f>2265.3-230.4+16.7</f>
        <v>2051.6</v>
      </c>
      <c r="C52" s="23">
        <f>970-764.2</f>
        <v>205.79999999999995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1170.6</v>
      </c>
      <c r="N52" s="23"/>
      <c r="O52" s="28"/>
      <c r="P52" s="23"/>
      <c r="Q52" s="28"/>
      <c r="R52" s="23"/>
      <c r="S52" s="27"/>
      <c r="T52" s="27"/>
      <c r="U52" s="27"/>
      <c r="V52" s="23"/>
      <c r="W52" s="27">
        <v>1086.2</v>
      </c>
      <c r="X52" s="27"/>
      <c r="Y52" s="27"/>
      <c r="Z52" s="23"/>
      <c r="AA52" s="23"/>
      <c r="AB52" s="23"/>
      <c r="AC52" s="23"/>
      <c r="AD52" s="28">
        <f t="shared" si="1"/>
        <v>2256.8</v>
      </c>
      <c r="AE52" s="23">
        <f t="shared" si="11"/>
        <v>0.5999999999994543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f>30+2-14+0.2</f>
        <v>18.2</v>
      </c>
      <c r="C54" s="23">
        <f>200.2-200</f>
        <v>0.19999999999998863</v>
      </c>
      <c r="D54" s="23"/>
      <c r="E54" s="23"/>
      <c r="F54" s="23"/>
      <c r="G54" s="23"/>
      <c r="H54" s="23"/>
      <c r="I54" s="23"/>
      <c r="J54" s="27">
        <v>9.4</v>
      </c>
      <c r="K54" s="23"/>
      <c r="L54" s="23"/>
      <c r="M54" s="23"/>
      <c r="N54" s="23">
        <v>0.4</v>
      </c>
      <c r="O54" s="28"/>
      <c r="P54" s="23"/>
      <c r="Q54" s="28">
        <v>4.3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14.100000000000001</v>
      </c>
      <c r="AE54" s="23">
        <f t="shared" si="11"/>
        <v>4.2999999999999865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>B51-B52-B54-B56-B53-B55</f>
        <v>475.39999999999947</v>
      </c>
      <c r="C57" s="23">
        <f>C51-C52-C54-C56-C53-C55</f>
        <v>962.7</v>
      </c>
      <c r="D57" s="23">
        <f>D51-D52-D54-D56-D53-D55</f>
        <v>0</v>
      </c>
      <c r="E57" s="23">
        <f>E51-E52-E54-E56-E53-E55</f>
        <v>0</v>
      </c>
      <c r="F57" s="23">
        <f aca="true" t="shared" si="12" ref="F57:AE57">F51-F52-F54-F56-F53-F55</f>
        <v>171.3</v>
      </c>
      <c r="G57" s="23">
        <f t="shared" si="12"/>
        <v>53.1</v>
      </c>
      <c r="H57" s="23">
        <f t="shared" si="12"/>
        <v>0.2</v>
      </c>
      <c r="I57" s="23">
        <f t="shared" si="12"/>
        <v>342.9</v>
      </c>
      <c r="J57" s="23">
        <f t="shared" si="12"/>
        <v>0</v>
      </c>
      <c r="K57" s="23">
        <f t="shared" si="12"/>
        <v>0</v>
      </c>
      <c r="L57" s="23">
        <f t="shared" si="12"/>
        <v>32.2</v>
      </c>
      <c r="M57" s="23">
        <f t="shared" si="12"/>
        <v>0</v>
      </c>
      <c r="N57" s="23">
        <f t="shared" si="12"/>
        <v>0.19999999999999996</v>
      </c>
      <c r="O57" s="23">
        <f t="shared" si="12"/>
        <v>55.3</v>
      </c>
      <c r="P57" s="23">
        <f t="shared" si="12"/>
        <v>0</v>
      </c>
      <c r="Q57" s="23">
        <f t="shared" si="12"/>
        <v>43</v>
      </c>
      <c r="R57" s="23">
        <f t="shared" si="12"/>
        <v>0.1</v>
      </c>
      <c r="S57" s="23">
        <f t="shared" si="12"/>
        <v>0</v>
      </c>
      <c r="T57" s="23">
        <f t="shared" si="12"/>
        <v>0.4</v>
      </c>
      <c r="U57" s="23">
        <f t="shared" si="12"/>
        <v>1.1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 t="shared" si="12"/>
        <v>699.7999999999996</v>
      </c>
      <c r="AE57" s="23">
        <f t="shared" si="12"/>
        <v>738.3000000000004</v>
      </c>
    </row>
    <row r="58" spans="1:31" ht="15" customHeight="1">
      <c r="A58" s="4" t="s">
        <v>10</v>
      </c>
      <c r="B58" s="23">
        <v>28.8</v>
      </c>
      <c r="C58" s="23">
        <v>276.3</v>
      </c>
      <c r="D58" s="23">
        <v>45.4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45.4</v>
      </c>
      <c r="AE58" s="23">
        <f aca="true" t="shared" si="14" ref="AE58:AE64">B58+C58-AD58</f>
        <v>259.70000000000005</v>
      </c>
    </row>
    <row r="59" spans="1:31" ht="15" customHeight="1">
      <c r="A59" s="4" t="s">
        <v>11</v>
      </c>
      <c r="B59" s="23">
        <f>984.1-99.8-0.1</f>
        <v>884.2</v>
      </c>
      <c r="C59" s="23">
        <v>528.4</v>
      </c>
      <c r="D59" s="23"/>
      <c r="E59" s="23"/>
      <c r="F59" s="23">
        <v>176.7</v>
      </c>
      <c r="G59" s="23"/>
      <c r="H59" s="23">
        <v>5.6</v>
      </c>
      <c r="I59" s="23">
        <v>66.5</v>
      </c>
      <c r="J59" s="27">
        <v>10.8</v>
      </c>
      <c r="K59" s="23"/>
      <c r="L59" s="23">
        <v>4.5</v>
      </c>
      <c r="M59" s="23">
        <v>321.6</v>
      </c>
      <c r="N59" s="23"/>
      <c r="O59" s="28">
        <v>38.9</v>
      </c>
      <c r="P59" s="23"/>
      <c r="Q59" s="28"/>
      <c r="R59" s="23"/>
      <c r="S59" s="27">
        <v>2.3</v>
      </c>
      <c r="T59" s="27">
        <v>19.8</v>
      </c>
      <c r="U59" s="27">
        <v>74.8</v>
      </c>
      <c r="V59" s="23"/>
      <c r="W59" s="27">
        <v>390.2</v>
      </c>
      <c r="X59" s="27"/>
      <c r="Y59" s="27"/>
      <c r="Z59" s="23"/>
      <c r="AA59" s="23"/>
      <c r="AB59" s="23"/>
      <c r="AC59" s="23"/>
      <c r="AD59" s="28">
        <f t="shared" si="13"/>
        <v>1111.6999999999998</v>
      </c>
      <c r="AE59" s="23">
        <f t="shared" si="14"/>
        <v>300.9000000000001</v>
      </c>
    </row>
    <row r="60" spans="1:32" ht="15.75">
      <c r="A60" s="3" t="s">
        <v>5</v>
      </c>
      <c r="B60" s="23">
        <f>635.9-6.7+0.1</f>
        <v>629.3</v>
      </c>
      <c r="C60" s="23">
        <v>11.6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250.5</v>
      </c>
      <c r="N60" s="23"/>
      <c r="O60" s="28"/>
      <c r="P60" s="23"/>
      <c r="Q60" s="28"/>
      <c r="R60" s="23"/>
      <c r="S60" s="27"/>
      <c r="T60" s="27"/>
      <c r="U60" s="27"/>
      <c r="V60" s="23"/>
      <c r="W60" s="27">
        <v>390.2</v>
      </c>
      <c r="X60" s="27"/>
      <c r="Y60" s="27"/>
      <c r="Z60" s="23"/>
      <c r="AA60" s="23"/>
      <c r="AB60" s="23"/>
      <c r="AC60" s="23"/>
      <c r="AD60" s="28">
        <f t="shared" si="13"/>
        <v>640.7</v>
      </c>
      <c r="AE60" s="23">
        <f t="shared" si="14"/>
        <v>0.1999999999999318</v>
      </c>
      <c r="AF60" s="66"/>
    </row>
    <row r="61" spans="1:32" ht="15.75">
      <c r="A61" s="3" t="s">
        <v>3</v>
      </c>
      <c r="B61" s="23">
        <f>3.3-2</f>
        <v>1.2999999999999998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0.5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0.5</v>
      </c>
      <c r="AE61" s="23">
        <f t="shared" si="14"/>
        <v>0.7999999999999998</v>
      </c>
      <c r="AF61" s="6"/>
    </row>
    <row r="62" spans="1:32" ht="15.75">
      <c r="A62" s="3" t="s">
        <v>1</v>
      </c>
      <c r="B62" s="23">
        <f>31.9-10.8-5.5-0.1</f>
        <v>15.499999999999998</v>
      </c>
      <c r="C62" s="23">
        <f>74.1-70</f>
        <v>4.099999999999994</v>
      </c>
      <c r="D62" s="23"/>
      <c r="E62" s="23"/>
      <c r="F62" s="23"/>
      <c r="G62" s="23"/>
      <c r="H62" s="23"/>
      <c r="I62" s="23"/>
      <c r="J62" s="27">
        <v>5.1</v>
      </c>
      <c r="K62" s="23"/>
      <c r="L62" s="23"/>
      <c r="M62" s="23">
        <v>1.5</v>
      </c>
      <c r="N62" s="23"/>
      <c r="O62" s="28"/>
      <c r="P62" s="23"/>
      <c r="Q62" s="28"/>
      <c r="R62" s="23"/>
      <c r="S62" s="27">
        <v>0.9</v>
      </c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7.5</v>
      </c>
      <c r="AE62" s="23">
        <f t="shared" si="14"/>
        <v>12.099999999999994</v>
      </c>
      <c r="AF62" s="6"/>
    </row>
    <row r="63" spans="1:31" ht="15.75">
      <c r="A63" s="3" t="s">
        <v>2</v>
      </c>
      <c r="B63" s="23">
        <v>0</v>
      </c>
      <c r="C63" s="23">
        <f>14.3-0.6-0.1</f>
        <v>13.600000000000001</v>
      </c>
      <c r="D63" s="23"/>
      <c r="E63" s="23"/>
      <c r="F63" s="23"/>
      <c r="G63" s="23"/>
      <c r="H63" s="23"/>
      <c r="I63" s="23"/>
      <c r="J63" s="27">
        <v>5.7</v>
      </c>
      <c r="K63" s="23"/>
      <c r="L63" s="23"/>
      <c r="M63" s="23">
        <v>1.7</v>
      </c>
      <c r="N63" s="23"/>
      <c r="O63" s="28"/>
      <c r="P63" s="23"/>
      <c r="Q63" s="23"/>
      <c r="R63" s="23"/>
      <c r="S63" s="27">
        <v>0.9</v>
      </c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8.3</v>
      </c>
      <c r="AE63" s="23">
        <f t="shared" si="14"/>
        <v>5.300000000000001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>B59-B60-B63-B64-B62-B61</f>
        <v>238.10000000000008</v>
      </c>
      <c r="C65" s="23">
        <f>C59-C60-C63-C64-C62-C61</f>
        <v>499.0999999999999</v>
      </c>
      <c r="D65" s="23">
        <f>D59-D60-D63-D64-D62-D61</f>
        <v>0</v>
      </c>
      <c r="E65" s="23">
        <f>E59-E60-E63-E64-E62-E61</f>
        <v>0</v>
      </c>
      <c r="F65" s="23">
        <f aca="true" t="shared" si="15" ref="F65:AB65">F59-F60-F63-F64-F62-F61</f>
        <v>176.7</v>
      </c>
      <c r="G65" s="23">
        <f t="shared" si="15"/>
        <v>0</v>
      </c>
      <c r="H65" s="23">
        <f t="shared" si="15"/>
        <v>5.6</v>
      </c>
      <c r="I65" s="23">
        <f t="shared" si="15"/>
        <v>66.5</v>
      </c>
      <c r="J65" s="23">
        <f t="shared" si="15"/>
        <v>8.881784197001252E-16</v>
      </c>
      <c r="K65" s="23">
        <f t="shared" si="15"/>
        <v>0</v>
      </c>
      <c r="L65" s="23">
        <f t="shared" si="15"/>
        <v>4.5</v>
      </c>
      <c r="M65" s="23">
        <f t="shared" si="15"/>
        <v>67.90000000000002</v>
      </c>
      <c r="N65" s="23">
        <f t="shared" si="15"/>
        <v>0</v>
      </c>
      <c r="O65" s="23">
        <f t="shared" si="15"/>
        <v>38.9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19.8</v>
      </c>
      <c r="U65" s="23">
        <f t="shared" si="15"/>
        <v>74.8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454.7</v>
      </c>
      <c r="AE65" s="23">
        <f>AE59-AE60-AE63-AE64-AE62-AE61</f>
        <v>282.50000000000017</v>
      </c>
    </row>
    <row r="66" spans="1:31" ht="31.5">
      <c r="A66" s="4" t="s">
        <v>34</v>
      </c>
      <c r="B66" s="23">
        <v>19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aca="true" t="shared" si="16" ref="AE66:AE78">B66+C66-AD66</f>
        <v>1002</v>
      </c>
    </row>
    <row r="67" spans="1:31" ht="15.75">
      <c r="A67" s="4" t="s">
        <v>43</v>
      </c>
      <c r="B67" s="23">
        <v>6.4</v>
      </c>
      <c r="C67" s="23">
        <v>11.7</v>
      </c>
      <c r="D67" s="23"/>
      <c r="E67" s="23"/>
      <c r="F67" s="23"/>
      <c r="G67" s="23"/>
      <c r="H67" s="23"/>
      <c r="I67" s="23"/>
      <c r="J67" s="27">
        <v>5.5</v>
      </c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12.600000000000001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>
        <v>20</v>
      </c>
      <c r="P68" s="29"/>
      <c r="Q68" s="32"/>
      <c r="R68" s="29"/>
      <c r="S68" s="30"/>
      <c r="T68" s="30">
        <v>40</v>
      </c>
      <c r="U68" s="30">
        <v>40.1</v>
      </c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100.1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281.1-149.4-26.9-0.1</f>
        <v>104.70000000000002</v>
      </c>
      <c r="C69" s="23">
        <v>2041.2</v>
      </c>
      <c r="D69" s="23"/>
      <c r="E69" s="23"/>
      <c r="F69" s="23">
        <v>26</v>
      </c>
      <c r="G69" s="23">
        <v>0.2</v>
      </c>
      <c r="H69" s="23"/>
      <c r="I69" s="23">
        <v>75.3</v>
      </c>
      <c r="J69" s="27">
        <v>22.7</v>
      </c>
      <c r="K69" s="23"/>
      <c r="L69" s="23"/>
      <c r="M69" s="23">
        <v>2.1</v>
      </c>
      <c r="N69" s="23"/>
      <c r="O69" s="23">
        <v>50</v>
      </c>
      <c r="P69" s="23">
        <v>22.1</v>
      </c>
      <c r="Q69" s="28">
        <v>4.6</v>
      </c>
      <c r="R69" s="23">
        <v>10.9</v>
      </c>
      <c r="S69" s="27"/>
      <c r="T69" s="27">
        <v>14.1</v>
      </c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241.5</v>
      </c>
      <c r="AE69" s="31">
        <f t="shared" si="16"/>
        <v>1904.4</v>
      </c>
    </row>
    <row r="70" spans="1:31" ht="15" customHeight="1">
      <c r="A70" s="3" t="s">
        <v>5</v>
      </c>
      <c r="B70" s="23">
        <v>13.4</v>
      </c>
      <c r="C70" s="23">
        <f>27-26.9</f>
        <v>0.10000000000000142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>
        <v>13.5</v>
      </c>
      <c r="Z70" s="23"/>
      <c r="AA70" s="23"/>
      <c r="AB70" s="23"/>
      <c r="AC70" s="23"/>
      <c r="AD70" s="28">
        <f t="shared" si="13"/>
        <v>13.5</v>
      </c>
      <c r="AE70" s="31">
        <f t="shared" si="16"/>
        <v>0</v>
      </c>
    </row>
    <row r="71" spans="1:31" ht="15" customHeight="1">
      <c r="A71" s="3" t="s">
        <v>2</v>
      </c>
      <c r="B71" s="23">
        <f>41.4-19.4</f>
        <v>22</v>
      </c>
      <c r="C71" s="23">
        <f>130.7-130</f>
        <v>0.6999999999999886</v>
      </c>
      <c r="D71" s="23"/>
      <c r="E71" s="23"/>
      <c r="F71" s="23"/>
      <c r="G71" s="23"/>
      <c r="H71" s="23"/>
      <c r="I71" s="23"/>
      <c r="J71" s="27">
        <v>22.7</v>
      </c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22.7</v>
      </c>
      <c r="AE71" s="31">
        <f t="shared" si="16"/>
        <v>0</v>
      </c>
    </row>
    <row r="72" spans="1:31" s="11" customFormat="1" ht="31.5">
      <c r="A72" s="12" t="s">
        <v>21</v>
      </c>
      <c r="B72" s="23">
        <f>132.1-5.5-0.1</f>
        <v>126.5</v>
      </c>
      <c r="C72" s="23">
        <v>557</v>
      </c>
      <c r="D72" s="23"/>
      <c r="E72" s="29"/>
      <c r="F72" s="29"/>
      <c r="G72" s="29"/>
      <c r="H72" s="29"/>
      <c r="I72" s="29">
        <v>20.7</v>
      </c>
      <c r="J72" s="30">
        <v>0.1</v>
      </c>
      <c r="K72" s="29"/>
      <c r="L72" s="29"/>
      <c r="M72" s="29">
        <v>40</v>
      </c>
      <c r="N72" s="29"/>
      <c r="O72" s="29">
        <v>21.4</v>
      </c>
      <c r="P72" s="29"/>
      <c r="Q72" s="32"/>
      <c r="R72" s="29"/>
      <c r="S72" s="30"/>
      <c r="T72" s="30"/>
      <c r="U72" s="29">
        <v>5</v>
      </c>
      <c r="V72" s="30"/>
      <c r="W72" s="30">
        <v>25</v>
      </c>
      <c r="X72" s="30"/>
      <c r="Y72" s="30"/>
      <c r="Z72" s="29"/>
      <c r="AA72" s="29"/>
      <c r="AB72" s="29"/>
      <c r="AC72" s="29"/>
      <c r="AD72" s="28">
        <f t="shared" si="13"/>
        <v>112.19999999999999</v>
      </c>
      <c r="AE72" s="31">
        <f t="shared" si="16"/>
        <v>571.3</v>
      </c>
    </row>
    <row r="73" spans="1:31" s="11" customFormat="1" ht="15.75">
      <c r="A73" s="3" t="s">
        <v>5</v>
      </c>
      <c r="B73" s="23">
        <f>64.8+1.3</f>
        <v>66.1</v>
      </c>
      <c r="C73" s="23">
        <v>0.1</v>
      </c>
      <c r="D73" s="23"/>
      <c r="E73" s="29"/>
      <c r="F73" s="29"/>
      <c r="G73" s="29"/>
      <c r="H73" s="29"/>
      <c r="I73" s="29"/>
      <c r="J73" s="30"/>
      <c r="K73" s="29"/>
      <c r="L73" s="29"/>
      <c r="M73" s="29">
        <v>39.8</v>
      </c>
      <c r="N73" s="29"/>
      <c r="O73" s="29"/>
      <c r="P73" s="29"/>
      <c r="Q73" s="32"/>
      <c r="R73" s="29"/>
      <c r="S73" s="30"/>
      <c r="T73" s="30"/>
      <c r="U73" s="29"/>
      <c r="V73" s="30"/>
      <c r="W73" s="30">
        <v>25</v>
      </c>
      <c r="X73" s="30"/>
      <c r="Y73" s="30"/>
      <c r="Z73" s="29"/>
      <c r="AA73" s="29"/>
      <c r="AB73" s="29"/>
      <c r="AC73" s="29"/>
      <c r="AD73" s="28">
        <f t="shared" si="13"/>
        <v>64.8</v>
      </c>
      <c r="AE73" s="31">
        <f t="shared" si="16"/>
        <v>1.3999999999999915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f>9.7-3.5</f>
        <v>6.199999999999999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>
        <v>6.2</v>
      </c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6.2</v>
      </c>
      <c r="AE75" s="31">
        <f t="shared" si="16"/>
        <v>0</v>
      </c>
    </row>
    <row r="76" spans="1:31" s="11" customFormat="1" ht="15.75">
      <c r="A76" s="3" t="s">
        <v>2</v>
      </c>
      <c r="B76" s="23">
        <v>0.2</v>
      </c>
      <c r="C76" s="23">
        <f>2.1-2</f>
        <v>0.10000000000000009</v>
      </c>
      <c r="D76" s="23"/>
      <c r="E76" s="29"/>
      <c r="F76" s="29"/>
      <c r="G76" s="29"/>
      <c r="H76" s="29"/>
      <c r="I76" s="29"/>
      <c r="J76" s="30">
        <v>0.1</v>
      </c>
      <c r="K76" s="29"/>
      <c r="L76" s="29"/>
      <c r="M76" s="29">
        <v>0.1</v>
      </c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0.2</v>
      </c>
      <c r="AE76" s="31">
        <f t="shared" si="16"/>
        <v>0.10000000000000009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266.7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300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40624.4</v>
      </c>
      <c r="C90" s="43">
        <f t="shared" si="18"/>
        <v>28255.8</v>
      </c>
      <c r="D90" s="43">
        <f t="shared" si="18"/>
        <v>1295.5</v>
      </c>
      <c r="E90" s="43">
        <f t="shared" si="18"/>
        <v>201.3</v>
      </c>
      <c r="F90" s="43">
        <f t="shared" si="18"/>
        <v>728.4000000000001</v>
      </c>
      <c r="G90" s="43">
        <f t="shared" si="18"/>
        <v>300</v>
      </c>
      <c r="H90" s="43">
        <f t="shared" si="18"/>
        <v>494.1</v>
      </c>
      <c r="I90" s="43">
        <f t="shared" si="18"/>
        <v>1053.3000000000002</v>
      </c>
      <c r="J90" s="43">
        <f t="shared" si="18"/>
        <v>296.3</v>
      </c>
      <c r="K90" s="43">
        <f t="shared" si="18"/>
        <v>281.2</v>
      </c>
      <c r="L90" s="43">
        <f t="shared" si="18"/>
        <v>226.9</v>
      </c>
      <c r="M90" s="43">
        <f t="shared" si="18"/>
        <v>18573.699999999997</v>
      </c>
      <c r="N90" s="43">
        <f t="shared" si="18"/>
        <v>559.5</v>
      </c>
      <c r="O90" s="43">
        <f t="shared" si="18"/>
        <v>555.6999999999999</v>
      </c>
      <c r="P90" s="43">
        <f t="shared" si="18"/>
        <v>726.3000000000001</v>
      </c>
      <c r="Q90" s="43">
        <f t="shared" si="18"/>
        <v>458.50000000000006</v>
      </c>
      <c r="R90" s="43">
        <f t="shared" si="18"/>
        <v>274.6</v>
      </c>
      <c r="S90" s="43">
        <f t="shared" si="18"/>
        <v>100.3</v>
      </c>
      <c r="T90" s="43">
        <f t="shared" si="18"/>
        <v>1903.4</v>
      </c>
      <c r="U90" s="43">
        <f t="shared" si="18"/>
        <v>444.6000000000001</v>
      </c>
      <c r="V90" s="43">
        <f t="shared" si="18"/>
        <v>159.8</v>
      </c>
      <c r="W90" s="43">
        <f t="shared" si="18"/>
        <v>17912</v>
      </c>
      <c r="X90" s="43">
        <f>X10+X15+X23+X31+X45+X50+X51+X58+X59+X66+X68+X69+X72+X77+X78+X79+X84+X85+X86+X87+X38</f>
        <v>421.1</v>
      </c>
      <c r="Y90" s="43">
        <f>Y10+Y15+Y23+Y31+Y45+Y50+Y51+Y58+Y59+Y66+Y68+Y69+Y72+Y77+Y78+Y79+Y84+Y85+Y86+Y87+Y38</f>
        <v>1081.5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48047.999999999985</v>
      </c>
      <c r="AE90" s="60">
        <f>AE10+AE15+AE23+AE31+AE45+AE50+AE51+AE58+AE59+AE66+AE68+AE69+AE72+AE77+AE78+AE79+AE84+AE85+AE86+AE87+AE67+AE38+AE88</f>
        <v>20832.199999999997</v>
      </c>
    </row>
    <row r="91" spans="1:31" ht="15.75">
      <c r="A91" s="3" t="s">
        <v>5</v>
      </c>
      <c r="B91" s="23">
        <f aca="true" t="shared" si="19" ref="B91:AB91">B11+B16+B24+B32+B52+B60+B70+B39+B73</f>
        <v>32576.2</v>
      </c>
      <c r="C91" s="23">
        <f t="shared" si="19"/>
        <v>6197.200000000002</v>
      </c>
      <c r="D91" s="23">
        <f t="shared" si="19"/>
        <v>1225.1999999999998</v>
      </c>
      <c r="E91" s="23">
        <f t="shared" si="19"/>
        <v>0</v>
      </c>
      <c r="F91" s="23">
        <f t="shared" si="19"/>
        <v>25.1</v>
      </c>
      <c r="G91" s="23">
        <f t="shared" si="19"/>
        <v>0</v>
      </c>
      <c r="H91" s="23">
        <f t="shared" si="19"/>
        <v>12.2</v>
      </c>
      <c r="I91" s="23">
        <f t="shared" si="19"/>
        <v>46.6</v>
      </c>
      <c r="J91" s="23">
        <f t="shared" si="19"/>
        <v>0</v>
      </c>
      <c r="K91" s="23">
        <f t="shared" si="19"/>
        <v>0</v>
      </c>
      <c r="L91" s="23">
        <f t="shared" si="19"/>
        <v>0</v>
      </c>
      <c r="M91" s="23">
        <f t="shared" si="19"/>
        <v>16681.499999999996</v>
      </c>
      <c r="N91" s="23">
        <f t="shared" si="19"/>
        <v>0</v>
      </c>
      <c r="O91" s="23">
        <f t="shared" si="19"/>
        <v>1.8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17787.3</v>
      </c>
      <c r="X91" s="23">
        <f t="shared" si="19"/>
        <v>84.5</v>
      </c>
      <c r="Y91" s="23">
        <f t="shared" si="19"/>
        <v>1074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36938.2</v>
      </c>
      <c r="AE91" s="28">
        <f>B91+C91-AD91</f>
        <v>1835.2000000000044</v>
      </c>
    </row>
    <row r="92" spans="1:31" ht="15.75">
      <c r="A92" s="3" t="s">
        <v>2</v>
      </c>
      <c r="B92" s="23">
        <f aca="true" t="shared" si="20" ref="B92:X92">B12+B19+B27+B34+B54+B63+B42+B76+B71</f>
        <v>1162.7</v>
      </c>
      <c r="C92" s="23">
        <f t="shared" si="20"/>
        <v>616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71.2</v>
      </c>
      <c r="K92" s="23">
        <f t="shared" si="20"/>
        <v>0</v>
      </c>
      <c r="L92" s="23">
        <f t="shared" si="20"/>
        <v>0</v>
      </c>
      <c r="M92" s="23">
        <f t="shared" si="20"/>
        <v>677.5000000000001</v>
      </c>
      <c r="N92" s="23">
        <f t="shared" si="20"/>
        <v>55.2</v>
      </c>
      <c r="O92" s="23">
        <f t="shared" si="20"/>
        <v>82.9</v>
      </c>
      <c r="P92" s="23">
        <f t="shared" si="20"/>
        <v>4.3</v>
      </c>
      <c r="Q92" s="23">
        <f t="shared" si="20"/>
        <v>114.89999999999999</v>
      </c>
      <c r="R92" s="23">
        <f t="shared" si="20"/>
        <v>4.2</v>
      </c>
      <c r="S92" s="23">
        <f t="shared" si="20"/>
        <v>35</v>
      </c>
      <c r="T92" s="23">
        <f t="shared" si="20"/>
        <v>300.8</v>
      </c>
      <c r="U92" s="23">
        <f t="shared" si="20"/>
        <v>1.3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1347.3000000000002</v>
      </c>
      <c r="AE92" s="28">
        <f>B92+C92-AD92</f>
        <v>431.39999999999986</v>
      </c>
    </row>
    <row r="93" spans="1:31" ht="15.75">
      <c r="A93" s="3" t="s">
        <v>3</v>
      </c>
      <c r="B93" s="23">
        <f aca="true" t="shared" si="21" ref="B93:Y93">B17+B25+B40+B61+B74</f>
        <v>621.4</v>
      </c>
      <c r="C93" s="23">
        <f t="shared" si="21"/>
        <v>392.7000000000003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0.2</v>
      </c>
      <c r="K93" s="23">
        <f t="shared" si="21"/>
        <v>26</v>
      </c>
      <c r="L93" s="23">
        <f t="shared" si="21"/>
        <v>0</v>
      </c>
      <c r="M93" s="23">
        <f t="shared" si="21"/>
        <v>294</v>
      </c>
      <c r="N93" s="23">
        <f t="shared" si="21"/>
        <v>39.300000000000004</v>
      </c>
      <c r="O93" s="23">
        <f t="shared" si="21"/>
        <v>0</v>
      </c>
      <c r="P93" s="23">
        <f t="shared" si="21"/>
        <v>0.2</v>
      </c>
      <c r="Q93" s="23">
        <f t="shared" si="21"/>
        <v>2</v>
      </c>
      <c r="R93" s="23">
        <f t="shared" si="21"/>
        <v>0</v>
      </c>
      <c r="S93" s="23">
        <f t="shared" si="21"/>
        <v>4.2</v>
      </c>
      <c r="T93" s="23">
        <f t="shared" si="21"/>
        <v>296.90000000000003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662.8</v>
      </c>
      <c r="AE93" s="28">
        <f>B93+C93-AD93</f>
        <v>351.3000000000003</v>
      </c>
    </row>
    <row r="94" spans="1:31" ht="15.75">
      <c r="A94" s="3" t="s">
        <v>1</v>
      </c>
      <c r="B94" s="23">
        <f aca="true" t="shared" si="22" ref="B94:Y94">B18+B26+B62+B33+B41+B53+B46+B75</f>
        <v>1524.3999999999999</v>
      </c>
      <c r="C94" s="23">
        <f t="shared" si="22"/>
        <v>590.9000000000001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122.4</v>
      </c>
      <c r="I94" s="23">
        <f t="shared" si="22"/>
        <v>0</v>
      </c>
      <c r="J94" s="23">
        <f t="shared" si="22"/>
        <v>5.1</v>
      </c>
      <c r="K94" s="23">
        <f t="shared" si="22"/>
        <v>150</v>
      </c>
      <c r="L94" s="23">
        <f t="shared" si="22"/>
        <v>0</v>
      </c>
      <c r="M94" s="23">
        <f t="shared" si="22"/>
        <v>399.8</v>
      </c>
      <c r="N94" s="23">
        <f t="shared" si="22"/>
        <v>150.8</v>
      </c>
      <c r="O94" s="23">
        <f t="shared" si="22"/>
        <v>6.2</v>
      </c>
      <c r="P94" s="23">
        <f t="shared" si="22"/>
        <v>229.4</v>
      </c>
      <c r="Q94" s="23">
        <f t="shared" si="22"/>
        <v>104.9</v>
      </c>
      <c r="R94" s="23">
        <f t="shared" si="22"/>
        <v>0</v>
      </c>
      <c r="S94" s="23">
        <f t="shared" si="22"/>
        <v>61.1</v>
      </c>
      <c r="T94" s="23">
        <f t="shared" si="22"/>
        <v>114.6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1344.3</v>
      </c>
      <c r="AE94" s="28">
        <f>B94+C94-AD94</f>
        <v>771.0000000000002</v>
      </c>
    </row>
    <row r="95" spans="1:31" ht="15.75">
      <c r="A95" s="3" t="s">
        <v>17</v>
      </c>
      <c r="B95" s="23">
        <f aca="true" t="shared" si="23" ref="B95:AB95">B20+B28+B47+B35+B55+B13</f>
        <v>530.9</v>
      </c>
      <c r="C95" s="23">
        <f t="shared" si="23"/>
        <v>881.4</v>
      </c>
      <c r="D95" s="23">
        <f t="shared" si="23"/>
        <v>10.5</v>
      </c>
      <c r="E95" s="23">
        <f t="shared" si="23"/>
        <v>0</v>
      </c>
      <c r="F95" s="23">
        <f t="shared" si="23"/>
        <v>16.7</v>
      </c>
      <c r="G95" s="23">
        <f t="shared" si="23"/>
        <v>114.2</v>
      </c>
      <c r="H95" s="23">
        <f t="shared" si="23"/>
        <v>151</v>
      </c>
      <c r="I95" s="23">
        <f t="shared" si="23"/>
        <v>216.3</v>
      </c>
      <c r="J95" s="23">
        <f t="shared" si="23"/>
        <v>17.4</v>
      </c>
      <c r="K95" s="23">
        <f t="shared" si="23"/>
        <v>0</v>
      </c>
      <c r="L95" s="23">
        <f t="shared" si="23"/>
        <v>0</v>
      </c>
      <c r="M95" s="23">
        <f t="shared" si="23"/>
        <v>13.8</v>
      </c>
      <c r="N95" s="23">
        <f t="shared" si="23"/>
        <v>0</v>
      </c>
      <c r="O95" s="23">
        <f t="shared" si="23"/>
        <v>0</v>
      </c>
      <c r="P95" s="23">
        <f t="shared" si="23"/>
        <v>106</v>
      </c>
      <c r="Q95" s="23">
        <f t="shared" si="23"/>
        <v>0</v>
      </c>
      <c r="R95" s="23">
        <f t="shared" si="23"/>
        <v>7.6</v>
      </c>
      <c r="S95" s="23">
        <f t="shared" si="23"/>
        <v>0</v>
      </c>
      <c r="T95" s="23">
        <f t="shared" si="23"/>
        <v>119.5</v>
      </c>
      <c r="U95" s="23">
        <f t="shared" si="23"/>
        <v>69.4</v>
      </c>
      <c r="V95" s="23">
        <f t="shared" si="23"/>
        <v>0</v>
      </c>
      <c r="W95" s="23">
        <f t="shared" si="23"/>
        <v>0</v>
      </c>
      <c r="X95" s="23">
        <f t="shared" si="23"/>
        <v>6.4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848.8</v>
      </c>
      <c r="AE95" s="28">
        <f>B95+C95-AD95</f>
        <v>563.5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6906.599999999989</v>
      </c>
      <c r="AE96" s="2">
        <f>AE90-AE91-AE92-AE93-AE94-AE95</f>
        <v>16879.799999999992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1295.5</v>
      </c>
      <c r="E99" s="54">
        <f aca="true" t="shared" si="24" ref="E99:Y99">E90+D99</f>
        <v>1496.8</v>
      </c>
      <c r="F99" s="54">
        <f t="shared" si="24"/>
        <v>2225.2</v>
      </c>
      <c r="G99" s="54">
        <f t="shared" si="24"/>
        <v>2525.2</v>
      </c>
      <c r="H99" s="54">
        <f t="shared" si="24"/>
        <v>3019.2999999999997</v>
      </c>
      <c r="I99" s="54">
        <f t="shared" si="24"/>
        <v>4072.6</v>
      </c>
      <c r="J99" s="54">
        <f t="shared" si="24"/>
        <v>4368.9</v>
      </c>
      <c r="K99" s="54">
        <f t="shared" si="24"/>
        <v>4650.099999999999</v>
      </c>
      <c r="L99" s="54">
        <f t="shared" si="24"/>
        <v>4876.999999999999</v>
      </c>
      <c r="M99" s="54">
        <f t="shared" si="24"/>
        <v>23450.699999999997</v>
      </c>
      <c r="N99" s="54">
        <f t="shared" si="24"/>
        <v>24010.199999999997</v>
      </c>
      <c r="O99" s="54">
        <f t="shared" si="24"/>
        <v>24565.899999999998</v>
      </c>
      <c r="P99" s="54">
        <f t="shared" si="24"/>
        <v>25292.199999999997</v>
      </c>
      <c r="Q99" s="54">
        <f t="shared" si="24"/>
        <v>25750.699999999997</v>
      </c>
      <c r="R99" s="54">
        <f t="shared" si="24"/>
        <v>26025.299999999996</v>
      </c>
      <c r="S99" s="54">
        <f t="shared" si="24"/>
        <v>26125.599999999995</v>
      </c>
      <c r="T99" s="54">
        <f t="shared" si="24"/>
        <v>28028.999999999996</v>
      </c>
      <c r="U99" s="54">
        <f t="shared" si="24"/>
        <v>28473.599999999995</v>
      </c>
      <c r="V99" s="54">
        <f t="shared" si="24"/>
        <v>28633.399999999994</v>
      </c>
      <c r="W99" s="54">
        <f t="shared" si="24"/>
        <v>46545.399999999994</v>
      </c>
      <c r="X99" s="54">
        <f t="shared" si="24"/>
        <v>46966.49999999999</v>
      </c>
      <c r="Y99" s="54">
        <f t="shared" si="24"/>
        <v>48047.99999999999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2014-10-02T11:45:49Z</cp:lastPrinted>
  <dcterms:created xsi:type="dcterms:W3CDTF">2002-11-05T08:53:00Z</dcterms:created>
  <dcterms:modified xsi:type="dcterms:W3CDTF">2014-10-07T05:03:38Z</dcterms:modified>
  <cp:category/>
  <cp:version/>
  <cp:contentType/>
  <cp:contentStatus/>
</cp:coreProperties>
</file>